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5265" tabRatio="800" firstSheet="3" activeTab="4"/>
  </bookViews>
  <sheets>
    <sheet name="Sheet1" sheetId="1" r:id="rId1"/>
    <sheet name="hulldata" sheetId="2" r:id="rId2"/>
    <sheet name="saildata" sheetId="3" r:id="rId3"/>
    <sheet name="Linecalc." sheetId="4" r:id="rId4"/>
    <sheet name="design parameters" sheetId="5" r:id="rId5"/>
    <sheet name="keelcalc" sheetId="6" r:id="rId6"/>
    <sheet name="graphs" sheetId="7" r:id="rId7"/>
  </sheets>
  <definedNames/>
  <calcPr fullCalcOnLoad="1"/>
</workbook>
</file>

<file path=xl/comments5.xml><?xml version="1.0" encoding="utf-8"?>
<comments xmlns="http://schemas.openxmlformats.org/spreadsheetml/2006/main">
  <authors>
    <author>Jos Zoontjens</author>
  </authors>
  <commentList>
    <comment ref="V18" authorId="0">
      <text>
        <r>
          <rPr>
            <sz val="8"/>
            <rFont val="Tahoma"/>
            <family val="0"/>
          </rPr>
          <t>during transatlantique record</t>
        </r>
      </text>
    </comment>
    <comment ref="V17" authorId="0">
      <text>
        <r>
          <rPr>
            <b/>
            <sz val="8"/>
            <rFont val="Tahoma"/>
            <family val="0"/>
          </rPr>
          <t>Fastest mean speed minitransat ever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estimation</t>
        </r>
      </text>
    </comment>
  </commentList>
</comments>
</file>

<file path=xl/sharedStrings.xml><?xml version="1.0" encoding="utf-8"?>
<sst xmlns="http://schemas.openxmlformats.org/spreadsheetml/2006/main" count="254" uniqueCount="193">
  <si>
    <t>deg</t>
  </si>
  <si>
    <t>area</t>
  </si>
  <si>
    <t>center of force above waterline</t>
  </si>
  <si>
    <t>m</t>
  </si>
  <si>
    <t>m2</t>
  </si>
  <si>
    <t>Sailno</t>
  </si>
  <si>
    <t>liftcoefficient at deg</t>
  </si>
  <si>
    <t>active sail</t>
  </si>
  <si>
    <t>omschrijving</t>
  </si>
  <si>
    <t>kitesail petr lynn f-arc</t>
  </si>
  <si>
    <t>weerstandcoefficient</t>
  </si>
  <si>
    <t>wing</t>
  </si>
  <si>
    <t>zeil</t>
  </si>
  <si>
    <t>active hull</t>
  </si>
  <si>
    <t>Hullno</t>
  </si>
  <si>
    <t>laser</t>
  </si>
  <si>
    <t>reflex38</t>
  </si>
  <si>
    <t>righting moment Nm</t>
  </si>
  <si>
    <t>heeling angle</t>
  </si>
  <si>
    <t>heeling angle deg</t>
  </si>
  <si>
    <t>drivingforce N</t>
  </si>
  <si>
    <t>Speed hull1 kts</t>
  </si>
  <si>
    <t>N</t>
  </si>
  <si>
    <t>Nm</t>
  </si>
  <si>
    <t>driving force X</t>
  </si>
  <si>
    <t>Sideforce Y</t>
  </si>
  <si>
    <t>Lifting force Z</t>
  </si>
  <si>
    <t>Angle of incidence deg</t>
  </si>
  <si>
    <t>Angle kite-sea deg</t>
  </si>
  <si>
    <t>Sail number</t>
  </si>
  <si>
    <t>Description</t>
  </si>
  <si>
    <t>Hullnumber</t>
  </si>
  <si>
    <t>Length m</t>
  </si>
  <si>
    <t>Beam m</t>
  </si>
  <si>
    <t>Total force</t>
  </si>
  <si>
    <t>True wind speed</t>
  </si>
  <si>
    <t>kts</t>
  </si>
  <si>
    <t>Apparent windspeed</t>
  </si>
  <si>
    <t>Heelmoment</t>
  </si>
  <si>
    <t>Heeling angle</t>
  </si>
  <si>
    <t>Apparent windangle</t>
  </si>
  <si>
    <t>liftcoefficient</t>
  </si>
  <si>
    <t>dragcoefficient</t>
  </si>
  <si>
    <t>zeilopp.</t>
  </si>
  <si>
    <t>airspeed kite</t>
  </si>
  <si>
    <t>efficiency coeff.</t>
  </si>
  <si>
    <t>Force xz</t>
  </si>
  <si>
    <t>alpha</t>
  </si>
  <si>
    <t>boatspeed</t>
  </si>
  <si>
    <t>kitesail petr lynn f-arc low drag</t>
  </si>
  <si>
    <t>Boat speed</t>
  </si>
  <si>
    <t>true wind angle</t>
  </si>
  <si>
    <t>Total Force Kite</t>
  </si>
  <si>
    <t>Break load line</t>
  </si>
  <si>
    <t>N/mm2</t>
  </si>
  <si>
    <t>Area line</t>
  </si>
  <si>
    <t>Total lines forload</t>
  </si>
  <si>
    <t>Safety margin</t>
  </si>
  <si>
    <t>mm2</t>
  </si>
  <si>
    <t>Diameter</t>
  </si>
  <si>
    <t>mm</t>
  </si>
  <si>
    <t>Lengte lijn</t>
  </si>
  <si>
    <t>Total lines</t>
  </si>
  <si>
    <t>Area Lines</t>
  </si>
  <si>
    <t>E-modus</t>
  </si>
  <si>
    <t>Length change due to load</t>
  </si>
  <si>
    <t>Speed length ratio</t>
  </si>
  <si>
    <t>speed/sqrt(length)</t>
  </si>
  <si>
    <t>Displacement to length ratio</t>
  </si>
  <si>
    <t>1 - 1.35</t>
  </si>
  <si>
    <t>length</t>
  </si>
  <si>
    <t>draugth</t>
  </si>
  <si>
    <t>massa(ton)/lengte^3(ft)*10e6</t>
  </si>
  <si>
    <t>beam</t>
  </si>
  <si>
    <t>Yacht</t>
  </si>
  <si>
    <t>description yacht</t>
  </si>
  <si>
    <t>Length overall</t>
  </si>
  <si>
    <t>Length waterline</t>
  </si>
  <si>
    <t>Beam waterline</t>
  </si>
  <si>
    <t>Displacement empty</t>
  </si>
  <si>
    <t>Displacement full</t>
  </si>
  <si>
    <t>Beam overall</t>
  </si>
  <si>
    <t>kg</t>
  </si>
  <si>
    <t>Ballast</t>
  </si>
  <si>
    <t>Ballast ratio</t>
  </si>
  <si>
    <t>Sail area displacement ratio</t>
  </si>
  <si>
    <t>Iona Bess</t>
  </si>
  <si>
    <t>Oyster 45</t>
  </si>
  <si>
    <t>Displacement empty waterlinelength ratio</t>
  </si>
  <si>
    <t>Max fun 35</t>
  </si>
  <si>
    <t>Racer</t>
  </si>
  <si>
    <t>Sail area upwind</t>
  </si>
  <si>
    <t>Sail area downwind</t>
  </si>
  <si>
    <t>js9000</t>
  </si>
  <si>
    <t>Racer upwind</t>
  </si>
  <si>
    <t>Volvo 60</t>
  </si>
  <si>
    <t>Length to beam ratio overall</t>
  </si>
  <si>
    <t>A-cupper</t>
  </si>
  <si>
    <t>America's cup</t>
  </si>
  <si>
    <t>Windspeed kts</t>
  </si>
  <si>
    <t>Cl =</t>
  </si>
  <si>
    <t>Cd =</t>
  </si>
  <si>
    <t>Angle kite - sea</t>
  </si>
  <si>
    <t>Route66</t>
  </si>
  <si>
    <t>68 foot cruiser/racer</t>
  </si>
  <si>
    <t>kitesailer</t>
  </si>
  <si>
    <t>derived from js9000</t>
  </si>
  <si>
    <t>Sail area to wetted surface</t>
  </si>
  <si>
    <t>Tornado</t>
  </si>
  <si>
    <t>kitesailer daveculp</t>
  </si>
  <si>
    <t>testkitesailer</t>
  </si>
  <si>
    <t>monohull met kiel</t>
  </si>
  <si>
    <t>Boatspeed - Length waterline</t>
  </si>
  <si>
    <t>LWL ft</t>
  </si>
  <si>
    <t>Pogo21</t>
  </si>
  <si>
    <t>minitransatter</t>
  </si>
  <si>
    <t>Best day run</t>
  </si>
  <si>
    <t>Maximum speed</t>
  </si>
  <si>
    <t>Speed / length ratio BDR</t>
  </si>
  <si>
    <t>Speed / length ratio maximum speed</t>
  </si>
  <si>
    <t>Speed / length ratio mean speed</t>
  </si>
  <si>
    <t>Overall maximummean speed</t>
  </si>
  <si>
    <t>Kiteskier</t>
  </si>
  <si>
    <t>skier met kite</t>
  </si>
  <si>
    <t>1 feet =</t>
  </si>
  <si>
    <t>1 lbs =</t>
  </si>
  <si>
    <t>1 sqft =</t>
  </si>
  <si>
    <t>Playstation</t>
  </si>
  <si>
    <t>125ft racing cat</t>
  </si>
  <si>
    <t>Kingfisher2</t>
  </si>
  <si>
    <t>110ft racing cat</t>
  </si>
  <si>
    <t>oceansurfer</t>
  </si>
  <si>
    <t>Surfboard to cross the ocean</t>
  </si>
  <si>
    <t>Vertical force of wing in N</t>
  </si>
  <si>
    <t>A=</t>
  </si>
  <si>
    <t>Calculations with wing:</t>
  </si>
  <si>
    <t>Sail area in m2 to lift a boat of 1000kg out of the water:</t>
  </si>
  <si>
    <t>width</t>
  </si>
  <si>
    <t>Reynolds numbers</t>
  </si>
  <si>
    <t>Aspect R</t>
  </si>
  <si>
    <t>Oyster 45ft Best day run</t>
  </si>
  <si>
    <t>Volvo 60 best day run</t>
  </si>
  <si>
    <t>Mini transat best dayrun</t>
  </si>
  <si>
    <t>Volvo 60 highest speed</t>
  </si>
  <si>
    <t>minitransat highest speed</t>
  </si>
  <si>
    <t>trimax 1050</t>
  </si>
  <si>
    <t>race - cruise tri</t>
  </si>
  <si>
    <t>km/hr</t>
  </si>
  <si>
    <t>m/s</t>
  </si>
  <si>
    <t>gewicht kite</t>
  </si>
  <si>
    <t>Wheight wing</t>
  </si>
  <si>
    <t>Skin      1</t>
  </si>
  <si>
    <t>Core material</t>
  </si>
  <si>
    <t>Volume</t>
  </si>
  <si>
    <t>m3</t>
  </si>
  <si>
    <t>gr/m2</t>
  </si>
  <si>
    <t>gr/m2 koolstof</t>
  </si>
  <si>
    <t>gr/m2 glas</t>
  </si>
  <si>
    <t>kg/m2</t>
  </si>
  <si>
    <t>honinggraat</t>
  </si>
  <si>
    <t>overig</t>
  </si>
  <si>
    <t>Optie1: skin and core</t>
  </si>
  <si>
    <t>Optie2: sandwich wanden</t>
  </si>
  <si>
    <t>kg/m3</t>
  </si>
  <si>
    <t>Outer skin      1</t>
  </si>
  <si>
    <t>sandwich core</t>
  </si>
  <si>
    <t>Innerskin</t>
  </si>
  <si>
    <t>mm honinggraat</t>
  </si>
  <si>
    <t>thickness</t>
  </si>
  <si>
    <t>Price</t>
  </si>
  <si>
    <t>carbon</t>
  </si>
  <si>
    <t>epoxy+harder</t>
  </si>
  <si>
    <t>glas</t>
  </si>
  <si>
    <t>honeycomb</t>
  </si>
  <si>
    <t>Opp</t>
  </si>
  <si>
    <t>Spirit 46</t>
  </si>
  <si>
    <t>traditioneel licht schip</t>
  </si>
  <si>
    <t>Spirit 70</t>
  </si>
  <si>
    <t>Chernikeeff 3</t>
  </si>
  <si>
    <t>sinergia40</t>
  </si>
  <si>
    <t>Farrier39</t>
  </si>
  <si>
    <t>tri</t>
  </si>
  <si>
    <t>keel calculations</t>
  </si>
  <si>
    <t>Boatspeed</t>
  </si>
  <si>
    <t>Sideforce</t>
  </si>
  <si>
    <t>A</t>
  </si>
  <si>
    <t>Cl</t>
  </si>
  <si>
    <t>Cd</t>
  </si>
  <si>
    <t>Lift</t>
  </si>
  <si>
    <t>Drag</t>
  </si>
  <si>
    <t>Reynolds</t>
  </si>
  <si>
    <t>Mar chia 4</t>
  </si>
  <si>
    <t>ketch racer</t>
  </si>
</sst>
</file>

<file path=xl/styles.xml><?xml version="1.0" encoding="utf-8"?>
<styleSheet xmlns="http://schemas.openxmlformats.org/spreadsheetml/2006/main">
  <numFmts count="25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0"/>
    <numFmt numFmtId="180" formatCode="0.0000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7.7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.25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7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2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Sheet1!$C$14</c:f>
              <c:strCache>
                <c:ptCount val="1"/>
                <c:pt idx="0">
                  <c:v>Boat 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Sheet1!$B$16:$B$34</c:f>
              <c:numCache/>
            </c:numRef>
          </c:xVal>
          <c:yVal>
            <c:numRef>
              <c:f>Sheet1!$C$16:$C$34</c:f>
              <c:numCache/>
            </c:numRef>
          </c:yVal>
          <c:smooth val="1"/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Sheet1!$B$16:$B$34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535398"/>
        <c:axId val="49818583"/>
      </c:scatterChart>
      <c:valAx>
        <c:axId val="5535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18583"/>
        <c:crosses val="autoZero"/>
        <c:crossBetween val="midCat"/>
        <c:dispUnits/>
      </c:valAx>
      <c:valAx>
        <c:axId val="49818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53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latin typeface="Arial"/>
                <a:ea typeface="Arial"/>
                <a:cs typeface="Arial"/>
              </a:rPr>
              <a:t>Displacement to length ratio</a:t>
            </a:r>
          </a:p>
        </c:rich>
      </c:tx>
      <c:layout>
        <c:manualLayout>
          <c:xMode val="factor"/>
          <c:yMode val="factor"/>
          <c:x val="-0.002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44"/>
          <c:w val="0.7355"/>
          <c:h val="0.8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'design parameters'!$M$7</c:f>
              <c:strCache>
                <c:ptCount val="1"/>
                <c:pt idx="0">
                  <c:v>Displacement empty waterlinelength ratio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'design parameters'!$A$9:$A$29</c:f>
              <c:strCache/>
            </c:strRef>
          </c:cat>
          <c:val>
            <c:numRef>
              <c:f>'design parameters'!$M$9:$M$29</c:f>
              <c:numCache/>
            </c:numRef>
          </c:val>
        </c:ser>
        <c:gapWidth val="100"/>
        <c:axId val="45714064"/>
        <c:axId val="8773393"/>
      </c:barChart>
      <c:catAx>
        <c:axId val="4571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75" b="0" i="0" u="none" baseline="0">
                <a:latin typeface="Arial"/>
                <a:ea typeface="Arial"/>
                <a:cs typeface="Arial"/>
              </a:defRPr>
            </a:pPr>
          </a:p>
        </c:txPr>
        <c:crossAx val="8773393"/>
        <c:crosses val="autoZero"/>
        <c:auto val="1"/>
        <c:lblOffset val="0"/>
        <c:tickLblSkip val="1"/>
        <c:noMultiLvlLbl val="0"/>
      </c:catAx>
      <c:valAx>
        <c:axId val="87733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14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Boatspeed - length waterline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v>0.9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graphs!$A$8:$A$14</c:f>
              <c:numCache/>
            </c:numRef>
          </c:xVal>
          <c:yVal>
            <c:numRef>
              <c:f>graphs!$B$8:$B$14</c:f>
              <c:numCache/>
            </c:numRef>
          </c:yVal>
          <c:smooth val="1"/>
        </c:ser>
        <c:ser>
          <c:idx val="2"/>
          <c:order val="1"/>
          <c:tx>
            <c:v>1.5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graphs!$A$8:$A$14</c:f>
              <c:numCache/>
            </c:numRef>
          </c:xVal>
          <c:yVal>
            <c:numRef>
              <c:f>graphs!$C$8:$C$14</c:f>
              <c:numCache/>
            </c:numRef>
          </c:yVal>
          <c:smooth val="1"/>
        </c:ser>
        <c:ser>
          <c:idx val="3"/>
          <c:order val="2"/>
          <c:tx>
            <c:v>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graphs!$A$8:$A$14</c:f>
              <c:numCache/>
            </c:numRef>
          </c:xVal>
          <c:yVal>
            <c:numRef>
              <c:f>graphs!$D$8:$D$14</c:f>
              <c:numCache/>
            </c:numRef>
          </c:yVal>
          <c:smooth val="1"/>
        </c:ser>
        <c:ser>
          <c:idx val="4"/>
          <c:order val="3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graphs!$A$8:$A$14</c:f>
              <c:numCache/>
            </c:numRef>
          </c:xVal>
          <c:yVal>
            <c:numRef>
              <c:f>graphs!$E$8:$E$14</c:f>
              <c:numCache/>
            </c:numRef>
          </c:yVal>
          <c:smooth val="1"/>
        </c:ser>
        <c:ser>
          <c:idx val="0"/>
          <c:order val="4"/>
          <c:tx>
            <c:v>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graphs!$A$8:$A$14</c:f>
              <c:numCache/>
            </c:numRef>
          </c:xVal>
          <c:yVal>
            <c:numRef>
              <c:f>graphs!$F$8:$F$14</c:f>
              <c:numCache/>
            </c:numRef>
          </c:yVal>
          <c:smooth val="1"/>
        </c:ser>
        <c:ser>
          <c:idx val="5"/>
          <c:order val="5"/>
          <c:tx>
            <c:v>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graphs!$A$8:$A$14</c:f>
              <c:numCache/>
            </c:numRef>
          </c:xVal>
          <c:yVal>
            <c:numRef>
              <c:f>graphs!$G$8:$G$14</c:f>
              <c:numCache/>
            </c:numRef>
          </c:yVal>
          <c:smooth val="1"/>
        </c:ser>
        <c:axId val="11851674"/>
        <c:axId val="39556203"/>
      </c:scatterChart>
      <c:valAx>
        <c:axId val="11851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Length waterline 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556203"/>
        <c:crosses val="autoZero"/>
        <c:crossBetween val="midCat"/>
        <c:dispUnits/>
      </c:valAx>
      <c:valAx>
        <c:axId val="39556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Boatspeed (knots)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8516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35</xdr:row>
      <xdr:rowOff>66675</xdr:rowOff>
    </xdr:from>
    <xdr:to>
      <xdr:col>12</xdr:col>
      <xdr:colOff>323850</xdr:colOff>
      <xdr:row>51</xdr:row>
      <xdr:rowOff>95250</xdr:rowOff>
    </xdr:to>
    <xdr:graphicFrame>
      <xdr:nvGraphicFramePr>
        <xdr:cNvPr id="1" name="Chart 1"/>
        <xdr:cNvGraphicFramePr/>
      </xdr:nvGraphicFramePr>
      <xdr:xfrm>
        <a:off x="2219325" y="5734050"/>
        <a:ext cx="94202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34</xdr:row>
      <xdr:rowOff>47625</xdr:rowOff>
    </xdr:from>
    <xdr:to>
      <xdr:col>20</xdr:col>
      <xdr:colOff>47625</xdr:colOff>
      <xdr:row>65</xdr:row>
      <xdr:rowOff>9525</xdr:rowOff>
    </xdr:to>
    <xdr:graphicFrame>
      <xdr:nvGraphicFramePr>
        <xdr:cNvPr id="1" name="Chart 1"/>
        <xdr:cNvGraphicFramePr/>
      </xdr:nvGraphicFramePr>
      <xdr:xfrm>
        <a:off x="5219700" y="7334250"/>
        <a:ext cx="101727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76200</xdr:rowOff>
    </xdr:from>
    <xdr:to>
      <xdr:col>8</xdr:col>
      <xdr:colOff>581025</xdr:colOff>
      <xdr:row>42</xdr:row>
      <xdr:rowOff>0</xdr:rowOff>
    </xdr:to>
    <xdr:graphicFrame>
      <xdr:nvGraphicFramePr>
        <xdr:cNvPr id="1" name="Chart 2"/>
        <xdr:cNvGraphicFramePr/>
      </xdr:nvGraphicFramePr>
      <xdr:xfrm>
        <a:off x="0" y="2343150"/>
        <a:ext cx="54578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32</xdr:row>
      <xdr:rowOff>9525</xdr:rowOff>
    </xdr:from>
    <xdr:to>
      <xdr:col>5</xdr:col>
      <xdr:colOff>209550</xdr:colOff>
      <xdr:row>32</xdr:row>
      <xdr:rowOff>152400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171825" y="5191125"/>
          <a:ext cx="857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oneCellAnchor>
    <xdr:from>
      <xdr:col>6</xdr:col>
      <xdr:colOff>400050</xdr:colOff>
      <xdr:row>21</xdr:row>
      <xdr:rowOff>152400</xdr:rowOff>
    </xdr:from>
    <xdr:ext cx="76200" cy="133350"/>
    <xdr:sp>
      <xdr:nvSpPr>
        <xdr:cNvPr id="3" name="TextBox 5"/>
        <xdr:cNvSpPr txBox="1">
          <a:spLocks noChangeArrowheads="1"/>
        </xdr:cNvSpPr>
      </xdr:nvSpPr>
      <xdr:spPr>
        <a:xfrm>
          <a:off x="4057650" y="3552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twoCellAnchor>
    <xdr:from>
      <xdr:col>6</xdr:col>
      <xdr:colOff>390525</xdr:colOff>
      <xdr:row>27</xdr:row>
      <xdr:rowOff>85725</xdr:rowOff>
    </xdr:from>
    <xdr:to>
      <xdr:col>6</xdr:col>
      <xdr:colOff>495300</xdr:colOff>
      <xdr:row>28</xdr:row>
      <xdr:rowOff>57150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4048125" y="4457700"/>
          <a:ext cx="1047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</xdr:col>
      <xdr:colOff>600075</xdr:colOff>
      <xdr:row>31</xdr:row>
      <xdr:rowOff>28575</xdr:rowOff>
    </xdr:from>
    <xdr:to>
      <xdr:col>3</xdr:col>
      <xdr:colOff>95250</xdr:colOff>
      <xdr:row>32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819275" y="5048250"/>
          <a:ext cx="1047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6</xdr:col>
      <xdr:colOff>361950</xdr:colOff>
      <xdr:row>20</xdr:row>
      <xdr:rowOff>38100</xdr:rowOff>
    </xdr:from>
    <xdr:to>
      <xdr:col>6</xdr:col>
      <xdr:colOff>466725</xdr:colOff>
      <xdr:row>21</xdr:row>
      <xdr:rowOff>9525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4019550" y="3276600"/>
          <a:ext cx="1047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590550</xdr:colOff>
      <xdr:row>27</xdr:row>
      <xdr:rowOff>104775</xdr:rowOff>
    </xdr:from>
    <xdr:to>
      <xdr:col>3</xdr:col>
      <xdr:colOff>85725</xdr:colOff>
      <xdr:row>28</xdr:row>
      <xdr:rowOff>76200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809750" y="4476750"/>
          <a:ext cx="1047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4"/>
  <sheetViews>
    <sheetView workbookViewId="0" topLeftCell="A6">
      <selection activeCell="A23" sqref="A23:IV23"/>
    </sheetView>
  </sheetViews>
  <sheetFormatPr defaultColWidth="9.140625" defaultRowHeight="12.75"/>
  <cols>
    <col min="2" max="2" width="19.8515625" style="1" customWidth="1"/>
    <col min="3" max="3" width="18.57421875" style="1" customWidth="1"/>
    <col min="4" max="5" width="17.8515625" style="1" customWidth="1"/>
    <col min="6" max="6" width="12.28125" style="0" bestFit="1" customWidth="1"/>
    <col min="7" max="7" width="12.8515625" style="0" bestFit="1" customWidth="1"/>
    <col min="8" max="8" width="13.7109375" style="0" customWidth="1"/>
    <col min="9" max="9" width="12.00390625" style="0" customWidth="1"/>
    <col min="10" max="10" width="11.140625" style="1" bestFit="1" customWidth="1"/>
    <col min="11" max="11" width="12.57421875" style="1" bestFit="1" customWidth="1"/>
    <col min="12" max="12" width="11.8515625" style="1" bestFit="1" customWidth="1"/>
    <col min="13" max="13" width="12.8515625" style="0" bestFit="1" customWidth="1"/>
  </cols>
  <sheetData>
    <row r="2" spans="2:3" ht="12.75">
      <c r="B2" s="1" t="s">
        <v>29</v>
      </c>
      <c r="C2" s="2">
        <v>2</v>
      </c>
    </row>
    <row r="3" spans="2:3" ht="12.75">
      <c r="B3" s="1" t="s">
        <v>30</v>
      </c>
      <c r="C3" s="1" t="str">
        <f>saildata!C7</f>
        <v>wing</v>
      </c>
    </row>
    <row r="5" spans="2:8" ht="12.75">
      <c r="B5" s="1" t="s">
        <v>31</v>
      </c>
      <c r="C5" s="2">
        <v>1</v>
      </c>
      <c r="H5" s="1"/>
    </row>
    <row r="6" spans="2:8" ht="12.75">
      <c r="B6" s="1" t="s">
        <v>30</v>
      </c>
      <c r="C6" s="1" t="str">
        <f>hulldata!C7</f>
        <v>laser</v>
      </c>
      <c r="H6" s="1"/>
    </row>
    <row r="7" spans="6:10" ht="12.75">
      <c r="F7" s="1" t="s">
        <v>41</v>
      </c>
      <c r="G7" s="1" t="s">
        <v>42</v>
      </c>
      <c r="H7" t="s">
        <v>45</v>
      </c>
      <c r="I7" s="1" t="s">
        <v>43</v>
      </c>
      <c r="J7" s="1" t="s">
        <v>44</v>
      </c>
    </row>
    <row r="8" spans="2:10" ht="12.75">
      <c r="B8" s="1" t="s">
        <v>35</v>
      </c>
      <c r="C8" s="2">
        <v>20</v>
      </c>
      <c r="D8" s="1" t="s">
        <v>36</v>
      </c>
      <c r="F8" s="7">
        <f>VLOOKUP(C9,saildata!B12:C72,2,TRUE)</f>
        <v>-0.6000000000000001</v>
      </c>
      <c r="G8" s="6">
        <f>VLOOKUP(C9,saildata!B73:C133,2,TRUE)</f>
        <v>-0.6000000000000001</v>
      </c>
      <c r="H8" s="3">
        <f>F8/G8</f>
        <v>1</v>
      </c>
      <c r="I8" s="1">
        <f>saildata!C8</f>
        <v>20</v>
      </c>
      <c r="J8" s="1">
        <f>C8*1.1</f>
        <v>22</v>
      </c>
    </row>
    <row r="9" spans="2:4" ht="12.75">
      <c r="B9" t="s">
        <v>27</v>
      </c>
      <c r="C9" s="2">
        <v>90</v>
      </c>
      <c r="D9" s="1" t="s">
        <v>0</v>
      </c>
    </row>
    <row r="10" spans="2:4" ht="12.75">
      <c r="B10" s="1" t="s">
        <v>28</v>
      </c>
      <c r="C10" s="2">
        <v>10</v>
      </c>
      <c r="D10" s="1" t="s">
        <v>0</v>
      </c>
    </row>
    <row r="11" spans="2:4" ht="12.75">
      <c r="B11" s="1" t="s">
        <v>48</v>
      </c>
      <c r="C11" s="2">
        <v>30</v>
      </c>
      <c r="D11" s="1" t="s">
        <v>36</v>
      </c>
    </row>
    <row r="14" spans="2:13" ht="12.75">
      <c r="B14" s="1" t="s">
        <v>51</v>
      </c>
      <c r="C14" s="1" t="s">
        <v>50</v>
      </c>
      <c r="D14" s="1" t="s">
        <v>37</v>
      </c>
      <c r="E14" s="1" t="s">
        <v>40</v>
      </c>
      <c r="F14" s="1" t="s">
        <v>24</v>
      </c>
      <c r="G14" s="1" t="s">
        <v>25</v>
      </c>
      <c r="H14" s="1" t="s">
        <v>26</v>
      </c>
      <c r="I14" s="1" t="s">
        <v>46</v>
      </c>
      <c r="J14" s="1" t="s">
        <v>34</v>
      </c>
      <c r="K14" s="1" t="s">
        <v>38</v>
      </c>
      <c r="L14" s="1" t="s">
        <v>39</v>
      </c>
      <c r="M14" s="1" t="s">
        <v>47</v>
      </c>
    </row>
    <row r="15" spans="2:13" ht="12.75">
      <c r="B15" s="1" t="s">
        <v>0</v>
      </c>
      <c r="C15" s="1" t="s">
        <v>36</v>
      </c>
      <c r="D15" s="1" t="s">
        <v>36</v>
      </c>
      <c r="E15" s="1" t="s">
        <v>0</v>
      </c>
      <c r="F15" s="1" t="s">
        <v>22</v>
      </c>
      <c r="G15" s="1" t="s">
        <v>22</v>
      </c>
      <c r="H15" s="1" t="s">
        <v>22</v>
      </c>
      <c r="I15" s="1" t="s">
        <v>22</v>
      </c>
      <c r="J15" s="1" t="s">
        <v>22</v>
      </c>
      <c r="K15" s="1" t="s">
        <v>23</v>
      </c>
      <c r="L15" s="1" t="s">
        <v>0</v>
      </c>
      <c r="M15" s="1" t="s">
        <v>0</v>
      </c>
    </row>
    <row r="16" spans="2:13" ht="12.75">
      <c r="B16" s="1">
        <v>0</v>
      </c>
      <c r="C16" s="4">
        <f aca="true" t="shared" si="0" ref="C16:C21">$C$11</f>
        <v>30</v>
      </c>
      <c r="D16" s="3">
        <f>SQRT((($C$8*COS(B16*PI()/180)+C16)^2)+($C$8*SIN(B16*PI()/180))^2)</f>
        <v>50</v>
      </c>
      <c r="E16" s="4">
        <f>ASIN((SIN(B16*PI()/180)*$C$8)/D16)*180/PI()</f>
        <v>0</v>
      </c>
      <c r="F16" s="4">
        <f>COS($M16*PI()/180)*$I16</f>
        <v>-5745.004982640157</v>
      </c>
      <c r="G16" s="4">
        <f>SIN($M16*PI()/180)*$I16</f>
        <v>7.038483977923912E-13</v>
      </c>
      <c r="H16" s="4">
        <f>SIN($C$10*PI()/180)*J16</f>
        <v>1012.9993827440261</v>
      </c>
      <c r="I16" s="4">
        <f>COS($C$10*PI()/180)*J16</f>
        <v>5745.004982640157</v>
      </c>
      <c r="J16" s="4">
        <f>SQRT($F$8^2+$G$8^2)*0.5*1.1*(D16/2)^2*$I$8</f>
        <v>5833.630944789018</v>
      </c>
      <c r="K16" s="4">
        <f>G16*saildata!$C$9</f>
        <v>7.038483977923912E-13</v>
      </c>
      <c r="M16" s="4">
        <f>-E16+$C$9+90</f>
        <v>180</v>
      </c>
    </row>
    <row r="17" spans="2:13" ht="12.75">
      <c r="B17" s="1">
        <v>10</v>
      </c>
      <c r="C17" s="4">
        <f t="shared" si="0"/>
        <v>30</v>
      </c>
      <c r="D17" s="3">
        <f aca="true" t="shared" si="1" ref="D17:D34">SQRT((($C$8*COS(B17*PI()/180)+C17)^2)+($C$8*SIN(B17*PI()/180))^2)</f>
        <v>49.81735946047973</v>
      </c>
      <c r="E17" s="4">
        <f aca="true" t="shared" si="2" ref="E17:E34">ASIN((SIN(B17*PI()/180)*$C$8)/D17)*180/PI()</f>
        <v>3.997556062897249</v>
      </c>
      <c r="F17" s="4">
        <f aca="true" t="shared" si="3" ref="F17:F34">COS(M17*PI()/180)*I17</f>
        <v>-5689.2352788420585</v>
      </c>
      <c r="G17" s="4">
        <f aca="true" t="shared" si="4" ref="G17:G34">SIN($M17*PI()/180)*$I17</f>
        <v>397.58622665746515</v>
      </c>
      <c r="H17" s="4">
        <f aca="true" t="shared" si="5" ref="H17:H34">SIN($C$10*PI()/180)*J17</f>
        <v>1005.6123090698843</v>
      </c>
      <c r="I17" s="4">
        <f aca="true" t="shared" si="6" ref="I17:I34">COS($C$10*PI()/180)*J17</f>
        <v>5703.11080601182</v>
      </c>
      <c r="J17" s="4">
        <f aca="true" t="shared" si="7" ref="J17:J34">SQRT($F$8^2+$G$8^2)*0.5*1.1*(D17/2)^2*$I$8</f>
        <v>5791.090482957563</v>
      </c>
      <c r="K17" s="4">
        <f>G17*saildata!$C$9</f>
        <v>397.58622665746515</v>
      </c>
      <c r="M17" s="4">
        <f aca="true" t="shared" si="8" ref="M17:M34">-E17+$C$9+90</f>
        <v>176.00244393710275</v>
      </c>
    </row>
    <row r="18" spans="2:13" ht="12.75">
      <c r="B18" s="1">
        <v>20</v>
      </c>
      <c r="C18" s="4">
        <f t="shared" si="0"/>
        <v>30</v>
      </c>
      <c r="D18" s="3">
        <f t="shared" si="1"/>
        <v>49.27099699562705</v>
      </c>
      <c r="E18" s="4">
        <f t="shared" si="2"/>
        <v>7.980278634988061</v>
      </c>
      <c r="F18" s="4">
        <f t="shared" si="3"/>
        <v>-5524.676586331697</v>
      </c>
      <c r="G18" s="4">
        <f t="shared" si="4"/>
        <v>774.5035836836041</v>
      </c>
      <c r="H18" s="4">
        <f t="shared" si="5"/>
        <v>983.6755405430094</v>
      </c>
      <c r="I18" s="4">
        <f t="shared" si="6"/>
        <v>5578.701209484193</v>
      </c>
      <c r="J18" s="4">
        <f t="shared" si="7"/>
        <v>5664.761667869442</v>
      </c>
      <c r="K18" s="4">
        <f>G18*saildata!$C$9</f>
        <v>774.5035836836041</v>
      </c>
      <c r="M18" s="4">
        <f t="shared" si="8"/>
        <v>172.01972136501195</v>
      </c>
    </row>
    <row r="19" spans="2:13" ht="12.75">
      <c r="B19" s="1">
        <v>30</v>
      </c>
      <c r="C19" s="4">
        <f t="shared" si="0"/>
        <v>30</v>
      </c>
      <c r="D19" s="3">
        <f t="shared" si="1"/>
        <v>48.365591948629415</v>
      </c>
      <c r="E19" s="4">
        <f t="shared" si="2"/>
        <v>11.932462708024952</v>
      </c>
      <c r="F19" s="4">
        <f t="shared" si="3"/>
        <v>-5259.401276805856</v>
      </c>
      <c r="G19" s="4">
        <f t="shared" si="4"/>
        <v>1111.442266932866</v>
      </c>
      <c r="H19" s="4">
        <f t="shared" si="5"/>
        <v>947.855614774549</v>
      </c>
      <c r="I19" s="4">
        <f t="shared" si="6"/>
        <v>5375.556315693468</v>
      </c>
      <c r="J19" s="4">
        <f t="shared" si="7"/>
        <v>5458.482936645636</v>
      </c>
      <c r="K19" s="4">
        <f>G19*saildata!$C$9</f>
        <v>1111.442266932866</v>
      </c>
      <c r="M19" s="4">
        <f t="shared" si="8"/>
        <v>168.06753729197504</v>
      </c>
    </row>
    <row r="20" spans="2:13" ht="12.75">
      <c r="B20" s="1">
        <v>40</v>
      </c>
      <c r="C20" s="4">
        <f t="shared" si="0"/>
        <v>30</v>
      </c>
      <c r="D20" s="3">
        <f t="shared" si="1"/>
        <v>47.10895171560044</v>
      </c>
      <c r="E20" s="4">
        <f t="shared" si="2"/>
        <v>15.83655197864464</v>
      </c>
      <c r="F20" s="4">
        <f t="shared" si="3"/>
        <v>-4906.279215873081</v>
      </c>
      <c r="G20" s="4">
        <f t="shared" si="4"/>
        <v>1391.7182865509344</v>
      </c>
      <c r="H20" s="4">
        <f t="shared" si="5"/>
        <v>899.2409020832212</v>
      </c>
      <c r="I20" s="4">
        <f t="shared" si="6"/>
        <v>5099.848579441202</v>
      </c>
      <c r="J20" s="4">
        <f t="shared" si="7"/>
        <v>5178.521964152309</v>
      </c>
      <c r="K20" s="4">
        <f>G20*saildata!$C$9</f>
        <v>1391.7182865509344</v>
      </c>
      <c r="M20" s="4">
        <f t="shared" si="8"/>
        <v>164.16344802135535</v>
      </c>
    </row>
    <row r="21" spans="2:13" ht="12.75">
      <c r="B21" s="1">
        <v>50</v>
      </c>
      <c r="C21" s="4">
        <f t="shared" si="0"/>
        <v>30</v>
      </c>
      <c r="D21" s="3">
        <f t="shared" si="1"/>
        <v>45.512032822363</v>
      </c>
      <c r="E21" s="4">
        <f t="shared" si="2"/>
        <v>19.671919552477732</v>
      </c>
      <c r="F21" s="4">
        <f t="shared" si="3"/>
        <v>-4482.143503636746</v>
      </c>
      <c r="G21" s="4">
        <f t="shared" si="4"/>
        <v>1602.361852710653</v>
      </c>
      <c r="H21" s="4">
        <f t="shared" si="5"/>
        <v>839.30853591392</v>
      </c>
      <c r="I21" s="4">
        <f t="shared" si="6"/>
        <v>4759.955240778572</v>
      </c>
      <c r="J21" s="4">
        <f t="shared" si="7"/>
        <v>4833.385222871581</v>
      </c>
      <c r="K21" s="4">
        <f>G21*saildata!$C$9</f>
        <v>1602.361852710653</v>
      </c>
      <c r="M21" s="4">
        <f t="shared" si="8"/>
        <v>160.32808044752227</v>
      </c>
    </row>
    <row r="22" spans="2:13" ht="12.75">
      <c r="B22" s="1">
        <v>60</v>
      </c>
      <c r="C22" s="4">
        <f aca="true" t="shared" si="9" ref="C22:C34">$C$11</f>
        <v>30</v>
      </c>
      <c r="D22" s="3">
        <f t="shared" si="1"/>
        <v>43.58898943540674</v>
      </c>
      <c r="E22" s="4">
        <f t="shared" si="2"/>
        <v>23.41322444637054</v>
      </c>
      <c r="F22" s="4">
        <f t="shared" si="3"/>
        <v>-4006.7033839145747</v>
      </c>
      <c r="G22" s="4">
        <f t="shared" si="4"/>
        <v>1734.9534579495466</v>
      </c>
      <c r="H22" s="4">
        <f t="shared" si="5"/>
        <v>769.8795308854599</v>
      </c>
      <c r="I22" s="4">
        <f t="shared" si="6"/>
        <v>4366.20378680652</v>
      </c>
      <c r="J22" s="4">
        <f t="shared" si="7"/>
        <v>4433.559518039654</v>
      </c>
      <c r="K22" s="4">
        <f>G22*saildata!$C$9</f>
        <v>1734.9534579495466</v>
      </c>
      <c r="M22" s="4">
        <f t="shared" si="8"/>
        <v>156.58677555362948</v>
      </c>
    </row>
    <row r="23" spans="2:13" ht="12.75">
      <c r="B23" s="1">
        <v>70</v>
      </c>
      <c r="C23" s="4">
        <f t="shared" si="9"/>
        <v>30</v>
      </c>
      <c r="D23" s="3">
        <f t="shared" si="1"/>
        <v>41.357274716678354</v>
      </c>
      <c r="E23" s="4">
        <f t="shared" si="2"/>
        <v>27.028057123190134</v>
      </c>
      <c r="F23" s="4">
        <f t="shared" si="3"/>
        <v>-3501.278721987411</v>
      </c>
      <c r="G23" s="4">
        <f t="shared" si="4"/>
        <v>1786.1508139786904</v>
      </c>
      <c r="H23" s="4">
        <f t="shared" si="5"/>
        <v>693.0634521828581</v>
      </c>
      <c r="I23" s="4">
        <f t="shared" si="6"/>
        <v>3930.5581562061307</v>
      </c>
      <c r="J23" s="4">
        <f t="shared" si="7"/>
        <v>3991.1933513762724</v>
      </c>
      <c r="K23" s="4">
        <f>G23*saildata!$C$9</f>
        <v>1786.1508139786904</v>
      </c>
      <c r="M23" s="4">
        <f t="shared" si="8"/>
        <v>152.97194287680986</v>
      </c>
    </row>
    <row r="24" spans="2:13" ht="12.75">
      <c r="B24" s="1">
        <v>80</v>
      </c>
      <c r="C24" s="4">
        <f t="shared" si="9"/>
        <v>30</v>
      </c>
      <c r="D24" s="3">
        <f t="shared" si="1"/>
        <v>38.837839965687024</v>
      </c>
      <c r="E24" s="4">
        <f t="shared" si="2"/>
        <v>30.473398796436413</v>
      </c>
      <c r="F24" s="4">
        <f>COS(M24*PI()/180)*I24</f>
        <v>-2987.4430396268694</v>
      </c>
      <c r="G24" s="4">
        <f t="shared" si="4"/>
        <v>1757.8706841530645</v>
      </c>
      <c r="H24" s="4">
        <f t="shared" si="5"/>
        <v>611.1943174866816</v>
      </c>
      <c r="I24" s="4">
        <f t="shared" si="6"/>
        <v>3466.255221015872</v>
      </c>
      <c r="J24" s="4">
        <f t="shared" si="7"/>
        <v>3519.7277950074213</v>
      </c>
      <c r="K24" s="4">
        <f>G24*saildata!$C$9</f>
        <v>1757.8706841530645</v>
      </c>
      <c r="M24" s="4">
        <f t="shared" si="8"/>
        <v>149.5266012035636</v>
      </c>
    </row>
    <row r="25" spans="2:13" ht="12.75">
      <c r="B25" s="1">
        <v>90</v>
      </c>
      <c r="C25" s="4">
        <f t="shared" si="9"/>
        <v>30</v>
      </c>
      <c r="D25" s="3">
        <f t="shared" si="1"/>
        <v>36.05551275463989</v>
      </c>
      <c r="E25" s="4">
        <f t="shared" si="2"/>
        <v>33.690067525979785</v>
      </c>
      <c r="F25" s="4">
        <f t="shared" si="3"/>
        <v>-2485.669205124623</v>
      </c>
      <c r="G25" s="4">
        <f t="shared" si="4"/>
        <v>1657.1128034164153</v>
      </c>
      <c r="H25" s="4">
        <f t="shared" si="5"/>
        <v>526.7596790268935</v>
      </c>
      <c r="I25" s="4">
        <f t="shared" si="6"/>
        <v>2987.4025909728816</v>
      </c>
      <c r="J25" s="4">
        <f t="shared" si="7"/>
        <v>3033.4880912902895</v>
      </c>
      <c r="K25" s="4">
        <f>G25*saildata!$C$9</f>
        <v>1657.1128034164153</v>
      </c>
      <c r="M25" s="4">
        <f t="shared" si="8"/>
        <v>146.30993247402023</v>
      </c>
    </row>
    <row r="26" spans="2:13" ht="12.75">
      <c r="B26" s="1">
        <v>100</v>
      </c>
      <c r="C26" s="4">
        <f t="shared" si="9"/>
        <v>30</v>
      </c>
      <c r="D26" s="3">
        <f t="shared" si="1"/>
        <v>33.039706215396095</v>
      </c>
      <c r="E26" s="4">
        <f t="shared" si="2"/>
        <v>36.59365039163257</v>
      </c>
      <c r="F26" s="4">
        <f t="shared" si="3"/>
        <v>-2014.0734850375063</v>
      </c>
      <c r="G26" s="4">
        <f t="shared" si="4"/>
        <v>1495.4366931937388</v>
      </c>
      <c r="H26" s="4">
        <f t="shared" si="5"/>
        <v>442.3250405671052</v>
      </c>
      <c r="I26" s="4">
        <f t="shared" si="6"/>
        <v>2508.5499609298895</v>
      </c>
      <c r="J26" s="4">
        <f t="shared" si="7"/>
        <v>2547.248387573156</v>
      </c>
      <c r="K26" s="4">
        <f>G26*saildata!$C$9</f>
        <v>1495.4366931937388</v>
      </c>
      <c r="M26" s="4">
        <f t="shared" si="8"/>
        <v>143.40634960836744</v>
      </c>
    </row>
    <row r="27" spans="2:13" ht="12.75">
      <c r="B27" s="1">
        <v>110</v>
      </c>
      <c r="C27" s="4">
        <f t="shared" si="9"/>
        <v>30</v>
      </c>
      <c r="D27" s="3">
        <f t="shared" si="1"/>
        <v>29.82575779438299</v>
      </c>
      <c r="E27" s="4">
        <f t="shared" si="2"/>
        <v>39.059090063208615</v>
      </c>
      <c r="F27" s="4">
        <f t="shared" si="3"/>
        <v>-1587.3507014924644</v>
      </c>
      <c r="G27" s="4">
        <f t="shared" si="4"/>
        <v>1288.124082810627</v>
      </c>
      <c r="H27" s="4">
        <f t="shared" si="5"/>
        <v>360.45590587092926</v>
      </c>
      <c r="I27" s="4">
        <f t="shared" si="6"/>
        <v>2044.2470257396335</v>
      </c>
      <c r="J27" s="4">
        <f t="shared" si="7"/>
        <v>2075.7828312043075</v>
      </c>
      <c r="K27" s="4">
        <f>G27*saildata!$C$9</f>
        <v>1288.124082810627</v>
      </c>
      <c r="M27" s="4">
        <f t="shared" si="8"/>
        <v>140.9409099367914</v>
      </c>
    </row>
    <row r="28" spans="2:13" ht="12.75">
      <c r="B28" s="1">
        <v>120</v>
      </c>
      <c r="C28" s="4">
        <f t="shared" si="9"/>
        <v>30</v>
      </c>
      <c r="D28" s="3">
        <f t="shared" si="1"/>
        <v>26.45751311064591</v>
      </c>
      <c r="E28" s="4">
        <f t="shared" si="2"/>
        <v>40.89339464913091</v>
      </c>
      <c r="F28" s="4">
        <f t="shared" si="3"/>
        <v>-1215.988357191424</v>
      </c>
      <c r="G28" s="4">
        <f t="shared" si="4"/>
        <v>1053.0768080338798</v>
      </c>
      <c r="H28" s="4">
        <f t="shared" si="5"/>
        <v>283.6398271683273</v>
      </c>
      <c r="I28" s="4">
        <f t="shared" si="6"/>
        <v>1608.6013951392442</v>
      </c>
      <c r="J28" s="4">
        <f t="shared" si="7"/>
        <v>1633.4166645409252</v>
      </c>
      <c r="K28" s="4">
        <f>G28*saildata!$C$9</f>
        <v>1053.0768080338798</v>
      </c>
      <c r="M28" s="4">
        <f t="shared" si="8"/>
        <v>139.10660535086907</v>
      </c>
    </row>
    <row r="29" spans="2:13" ht="12.75">
      <c r="B29" s="1">
        <v>130</v>
      </c>
      <c r="C29" s="4">
        <f t="shared" si="9"/>
        <v>30</v>
      </c>
      <c r="D29" s="3">
        <f t="shared" si="1"/>
        <v>22.992495914453322</v>
      </c>
      <c r="E29" s="4">
        <f t="shared" si="2"/>
        <v>41.7854398789655</v>
      </c>
      <c r="F29" s="4">
        <f t="shared" si="3"/>
        <v>-905.8472171222335</v>
      </c>
      <c r="G29" s="4">
        <f t="shared" si="4"/>
        <v>809.5067626560193</v>
      </c>
      <c r="H29" s="4">
        <f t="shared" si="5"/>
        <v>214.2108221398668</v>
      </c>
      <c r="I29" s="4">
        <f t="shared" si="6"/>
        <v>1214.8499411671894</v>
      </c>
      <c r="J29" s="4">
        <f t="shared" si="7"/>
        <v>1233.5909597089958</v>
      </c>
      <c r="K29" s="4">
        <f>G29*saildata!$C$9</f>
        <v>809.5067626560193</v>
      </c>
      <c r="M29" s="4">
        <f t="shared" si="8"/>
        <v>138.2145601210345</v>
      </c>
    </row>
    <row r="30" spans="2:13" ht="12.75">
      <c r="B30" s="1">
        <v>140</v>
      </c>
      <c r="C30" s="4">
        <f t="shared" si="9"/>
        <v>30</v>
      </c>
      <c r="D30" s="3">
        <f t="shared" si="1"/>
        <v>19.512730927710415</v>
      </c>
      <c r="E30" s="4">
        <f t="shared" si="2"/>
        <v>41.21140418552367</v>
      </c>
      <c r="F30" s="4">
        <f t="shared" si="3"/>
        <v>-658.2156673169633</v>
      </c>
      <c r="G30" s="4">
        <f t="shared" si="4"/>
        <v>576.4557151809767</v>
      </c>
      <c r="H30" s="4">
        <f t="shared" si="5"/>
        <v>154.27845597056597</v>
      </c>
      <c r="I30" s="4">
        <f t="shared" si="6"/>
        <v>874.9566025045622</v>
      </c>
      <c r="J30" s="4">
        <f t="shared" si="7"/>
        <v>888.4542184282701</v>
      </c>
      <c r="K30" s="4">
        <f>G30*saildata!$C$9</f>
        <v>576.4557151809767</v>
      </c>
      <c r="M30" s="4">
        <f t="shared" si="8"/>
        <v>138.78859581447634</v>
      </c>
    </row>
    <row r="31" spans="2:13" ht="12.75">
      <c r="B31" s="1">
        <v>150</v>
      </c>
      <c r="C31" s="4">
        <f t="shared" si="9"/>
        <v>30</v>
      </c>
      <c r="D31" s="3">
        <f t="shared" si="1"/>
        <v>16.148359528406395</v>
      </c>
      <c r="E31" s="4">
        <f t="shared" si="2"/>
        <v>38.261966199709846</v>
      </c>
      <c r="F31" s="4">
        <f t="shared" si="3"/>
        <v>-470.5227888277312</v>
      </c>
      <c r="G31" s="4">
        <f t="shared" si="4"/>
        <v>371.0896238086374</v>
      </c>
      <c r="H31" s="4">
        <f t="shared" si="5"/>
        <v>105.66374327923805</v>
      </c>
      <c r="I31" s="4">
        <f t="shared" si="6"/>
        <v>599.2488662522957</v>
      </c>
      <c r="J31" s="4">
        <f t="shared" si="7"/>
        <v>608.4932459349426</v>
      </c>
      <c r="K31" s="4">
        <f>G31*saildata!$C$9</f>
        <v>371.0896238086374</v>
      </c>
      <c r="M31" s="4">
        <f t="shared" si="8"/>
        <v>141.73803380029017</v>
      </c>
    </row>
    <row r="32" spans="2:13" ht="12.75">
      <c r="B32" s="1">
        <v>160</v>
      </c>
      <c r="C32" s="4">
        <f t="shared" si="9"/>
        <v>30</v>
      </c>
      <c r="D32" s="3">
        <f t="shared" si="1"/>
        <v>13.128931984625025</v>
      </c>
      <c r="E32" s="4">
        <f t="shared" si="2"/>
        <v>31.40052584242832</v>
      </c>
      <c r="F32" s="4">
        <f t="shared" si="3"/>
        <v>-338.09296744951064</v>
      </c>
      <c r="G32" s="4">
        <f t="shared" si="4"/>
        <v>206.37708778113165</v>
      </c>
      <c r="H32" s="4">
        <f t="shared" si="5"/>
        <v>69.84381751077771</v>
      </c>
      <c r="I32" s="4">
        <f t="shared" si="6"/>
        <v>396.1039724615707</v>
      </c>
      <c r="J32" s="4">
        <f t="shared" si="7"/>
        <v>402.2145147111372</v>
      </c>
      <c r="K32" s="4">
        <f>G32*saildata!$C$9</f>
        <v>206.37708778113165</v>
      </c>
      <c r="M32" s="4">
        <f t="shared" si="8"/>
        <v>148.59947415757168</v>
      </c>
    </row>
    <row r="33" spans="2:13" ht="12.75">
      <c r="B33" s="1">
        <v>170</v>
      </c>
      <c r="C33" s="4">
        <f t="shared" si="9"/>
        <v>30</v>
      </c>
      <c r="D33" s="3">
        <f t="shared" si="1"/>
        <v>10.8733939680925</v>
      </c>
      <c r="E33" s="4">
        <f t="shared" si="2"/>
        <v>18.626651768632527</v>
      </c>
      <c r="F33" s="4">
        <f t="shared" si="3"/>
        <v>-257.46300822374906</v>
      </c>
      <c r="G33" s="4">
        <f t="shared" si="4"/>
        <v>86.77922165191153</v>
      </c>
      <c r="H33" s="4">
        <f t="shared" si="5"/>
        <v>47.907048983902506</v>
      </c>
      <c r="I33" s="4">
        <f t="shared" si="6"/>
        <v>271.6943759339414</v>
      </c>
      <c r="J33" s="4">
        <f t="shared" si="7"/>
        <v>275.885699623014</v>
      </c>
      <c r="K33" s="4">
        <f>G33*saildata!$C$9</f>
        <v>86.77922165191153</v>
      </c>
      <c r="M33" s="4">
        <f t="shared" si="8"/>
        <v>161.37334823136746</v>
      </c>
    </row>
    <row r="34" spans="2:13" ht="12.75">
      <c r="B34" s="1">
        <v>180</v>
      </c>
      <c r="C34" s="4">
        <f t="shared" si="9"/>
        <v>30</v>
      </c>
      <c r="D34" s="3">
        <f t="shared" si="1"/>
        <v>10</v>
      </c>
      <c r="E34" s="4">
        <f t="shared" si="2"/>
        <v>1.4039167148647554E-14</v>
      </c>
      <c r="F34" s="4">
        <f t="shared" si="3"/>
        <v>-229.80019930560627</v>
      </c>
      <c r="G34" s="4">
        <f t="shared" si="4"/>
        <v>2.8153935911695646E-14</v>
      </c>
      <c r="H34" s="4">
        <f t="shared" si="5"/>
        <v>40.519975309761044</v>
      </c>
      <c r="I34" s="4">
        <f t="shared" si="6"/>
        <v>229.80019930560627</v>
      </c>
      <c r="J34" s="4">
        <f t="shared" si="7"/>
        <v>233.34523779156072</v>
      </c>
      <c r="K34" s="4">
        <f>G34*saildata!$C$9</f>
        <v>2.8153935911695646E-14</v>
      </c>
      <c r="M34" s="4">
        <f t="shared" si="8"/>
        <v>180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J59"/>
  <sheetViews>
    <sheetView workbookViewId="0" topLeftCell="A1">
      <selection activeCell="A14" sqref="A14"/>
    </sheetView>
  </sheetViews>
  <sheetFormatPr defaultColWidth="9.140625" defaultRowHeight="12.75"/>
  <cols>
    <col min="1" max="1" width="18.28125" style="0" customWidth="1"/>
    <col min="2" max="2" width="11.8515625" style="0" bestFit="1" customWidth="1"/>
    <col min="6" max="6" width="9.140625" style="1" customWidth="1"/>
    <col min="17" max="17" width="14.28125" style="1" bestFit="1" customWidth="1"/>
    <col min="18" max="18" width="15.421875" style="1" bestFit="1" customWidth="1"/>
    <col min="19" max="28" width="9.140625" style="1" customWidth="1"/>
  </cols>
  <sheetData>
    <row r="4" spans="3:17" ht="12.75">
      <c r="C4" t="s">
        <v>13</v>
      </c>
      <c r="F4" s="1" t="s">
        <v>14</v>
      </c>
      <c r="Q4" s="1" t="s">
        <v>21</v>
      </c>
    </row>
    <row r="5" spans="3:18" ht="12.75">
      <c r="C5" s="1">
        <f>Sheet1!C5</f>
        <v>1</v>
      </c>
      <c r="F5" s="1">
        <v>1</v>
      </c>
      <c r="G5" s="1">
        <v>2</v>
      </c>
      <c r="H5">
        <v>3</v>
      </c>
      <c r="I5">
        <v>4</v>
      </c>
      <c r="J5">
        <v>5</v>
      </c>
      <c r="K5">
        <v>6</v>
      </c>
      <c r="L5">
        <v>7</v>
      </c>
      <c r="M5">
        <v>8</v>
      </c>
      <c r="N5">
        <v>9</v>
      </c>
      <c r="O5">
        <v>10</v>
      </c>
      <c r="R5" s="1" t="s">
        <v>19</v>
      </c>
    </row>
    <row r="6" spans="3:36" ht="12.75">
      <c r="C6" s="1"/>
      <c r="G6" s="1"/>
      <c r="H6" s="1"/>
      <c r="Q6" s="1" t="s">
        <v>20</v>
      </c>
      <c r="R6" s="1">
        <v>0</v>
      </c>
      <c r="S6" s="1">
        <v>5</v>
      </c>
      <c r="T6" s="1">
        <v>10</v>
      </c>
      <c r="U6" s="1">
        <v>15</v>
      </c>
      <c r="V6" s="1">
        <v>20</v>
      </c>
      <c r="W6" s="1">
        <v>25</v>
      </c>
      <c r="X6" s="1">
        <v>30</v>
      </c>
      <c r="Y6" s="1">
        <v>35</v>
      </c>
      <c r="Z6" s="1">
        <v>40</v>
      </c>
      <c r="AA6" s="1">
        <v>45</v>
      </c>
      <c r="AB6" s="1">
        <v>50</v>
      </c>
      <c r="AC6">
        <v>55</v>
      </c>
      <c r="AD6">
        <v>60</v>
      </c>
      <c r="AE6">
        <v>65</v>
      </c>
      <c r="AF6">
        <v>70</v>
      </c>
      <c r="AG6">
        <v>75</v>
      </c>
      <c r="AH6">
        <v>80</v>
      </c>
      <c r="AI6">
        <v>85</v>
      </c>
      <c r="AJ6">
        <v>90</v>
      </c>
    </row>
    <row r="7" spans="1:36" ht="12.75">
      <c r="A7" t="s">
        <v>30</v>
      </c>
      <c r="C7" s="1" t="str">
        <f ca="1">HLOOKUP($C$5,$F$5:$O$59,CELL("row",C7)-4,FALSE)</f>
        <v>laser</v>
      </c>
      <c r="F7" s="1" t="s">
        <v>15</v>
      </c>
      <c r="G7" s="1" t="s">
        <v>16</v>
      </c>
      <c r="H7" s="1"/>
      <c r="Q7" s="1">
        <v>0</v>
      </c>
      <c r="R7" s="1">
        <v>0</v>
      </c>
      <c r="S7" s="1">
        <f>R7*0.9</f>
        <v>0</v>
      </c>
      <c r="T7" s="1">
        <f>S7*0.9</f>
        <v>0</v>
      </c>
      <c r="U7" s="1">
        <f aca="true" t="shared" si="0" ref="U7:AJ7">T7*0.9</f>
        <v>0</v>
      </c>
      <c r="V7" s="1">
        <f t="shared" si="0"/>
        <v>0</v>
      </c>
      <c r="W7" s="1">
        <f t="shared" si="0"/>
        <v>0</v>
      </c>
      <c r="X7" s="1">
        <f t="shared" si="0"/>
        <v>0</v>
      </c>
      <c r="Y7" s="1">
        <f t="shared" si="0"/>
        <v>0</v>
      </c>
      <c r="Z7" s="1">
        <f t="shared" si="0"/>
        <v>0</v>
      </c>
      <c r="AA7" s="1">
        <f t="shared" si="0"/>
        <v>0</v>
      </c>
      <c r="AB7" s="1">
        <f t="shared" si="0"/>
        <v>0</v>
      </c>
      <c r="AC7" s="1">
        <f t="shared" si="0"/>
        <v>0</v>
      </c>
      <c r="AD7" s="1">
        <f t="shared" si="0"/>
        <v>0</v>
      </c>
      <c r="AE7" s="1">
        <f t="shared" si="0"/>
        <v>0</v>
      </c>
      <c r="AF7" s="1">
        <f t="shared" si="0"/>
        <v>0</v>
      </c>
      <c r="AG7" s="1">
        <f t="shared" si="0"/>
        <v>0</v>
      </c>
      <c r="AH7" s="1">
        <f t="shared" si="0"/>
        <v>0</v>
      </c>
      <c r="AI7" s="1">
        <f t="shared" si="0"/>
        <v>0</v>
      </c>
      <c r="AJ7" s="1">
        <f t="shared" si="0"/>
        <v>0</v>
      </c>
    </row>
    <row r="8" spans="3:36" ht="12.75">
      <c r="C8" s="1"/>
      <c r="G8" s="1"/>
      <c r="H8" s="1"/>
      <c r="Q8" s="1">
        <v>100</v>
      </c>
      <c r="R8" s="1">
        <f>Q8/100</f>
        <v>1</v>
      </c>
      <c r="S8" s="1">
        <f aca="true" t="shared" si="1" ref="S8:AH32">R8*0.9</f>
        <v>0.9</v>
      </c>
      <c r="T8" s="1">
        <f t="shared" si="1"/>
        <v>0.81</v>
      </c>
      <c r="U8" s="1">
        <f t="shared" si="1"/>
        <v>0.7290000000000001</v>
      </c>
      <c r="V8" s="1">
        <f t="shared" si="1"/>
        <v>0.6561000000000001</v>
      </c>
      <c r="W8" s="1">
        <f t="shared" si="1"/>
        <v>0.5904900000000002</v>
      </c>
      <c r="X8" s="1">
        <f t="shared" si="1"/>
        <v>0.5314410000000002</v>
      </c>
      <c r="Y8" s="1">
        <f t="shared" si="1"/>
        <v>0.47829690000000014</v>
      </c>
      <c r="Z8" s="1">
        <f t="shared" si="1"/>
        <v>0.43046721000000016</v>
      </c>
      <c r="AA8" s="1">
        <f t="shared" si="1"/>
        <v>0.38742048900000015</v>
      </c>
      <c r="AB8" s="1">
        <f t="shared" si="1"/>
        <v>0.34867844010000015</v>
      </c>
      <c r="AC8" s="1">
        <f t="shared" si="1"/>
        <v>0.31381059609000017</v>
      </c>
      <c r="AD8" s="1">
        <f t="shared" si="1"/>
        <v>0.28242953648100017</v>
      </c>
      <c r="AE8" s="1">
        <f t="shared" si="1"/>
        <v>0.25418658283290013</v>
      </c>
      <c r="AF8" s="1">
        <f t="shared" si="1"/>
        <v>0.22876792454961012</v>
      </c>
      <c r="AG8" s="1">
        <f t="shared" si="1"/>
        <v>0.2058911320946491</v>
      </c>
      <c r="AH8" s="1">
        <f t="shared" si="1"/>
        <v>0.1853020188851842</v>
      </c>
      <c r="AI8" s="1">
        <f aca="true" t="shared" si="2" ref="AI8:AJ21">AH8*0.9</f>
        <v>0.16677181699666577</v>
      </c>
      <c r="AJ8" s="1">
        <f t="shared" si="2"/>
        <v>0.1500946352969992</v>
      </c>
    </row>
    <row r="9" spans="1:36" ht="12.75">
      <c r="A9" t="s">
        <v>32</v>
      </c>
      <c r="B9" s="1"/>
      <c r="C9" s="1">
        <f ca="1">HLOOKUP($C$5,$F$5:$O$59,CELL("row",C9)-4,FALSE)</f>
        <v>3.5</v>
      </c>
      <c r="D9" s="1"/>
      <c r="E9" s="1"/>
      <c r="F9" s="1">
        <v>3.5</v>
      </c>
      <c r="G9" s="1">
        <v>12</v>
      </c>
      <c r="Q9" s="1">
        <v>200</v>
      </c>
      <c r="R9" s="1">
        <f aca="true" t="shared" si="3" ref="R9:R32">Q9/100</f>
        <v>2</v>
      </c>
      <c r="S9" s="1">
        <f t="shared" si="1"/>
        <v>1.8</v>
      </c>
      <c r="T9" s="1">
        <f t="shared" si="1"/>
        <v>1.62</v>
      </c>
      <c r="U9" s="1">
        <f t="shared" si="1"/>
        <v>1.4580000000000002</v>
      </c>
      <c r="V9" s="1">
        <f t="shared" si="1"/>
        <v>1.3122000000000003</v>
      </c>
      <c r="W9" s="1">
        <f t="shared" si="1"/>
        <v>1.1809800000000004</v>
      </c>
      <c r="X9" s="1">
        <f t="shared" si="1"/>
        <v>1.0628820000000003</v>
      </c>
      <c r="Y9" s="1">
        <f t="shared" si="1"/>
        <v>0.9565938000000003</v>
      </c>
      <c r="Z9" s="1">
        <f t="shared" si="1"/>
        <v>0.8609344200000003</v>
      </c>
      <c r="AA9" s="1">
        <f t="shared" si="1"/>
        <v>0.7748409780000003</v>
      </c>
      <c r="AB9" s="1">
        <f t="shared" si="1"/>
        <v>0.6973568802000003</v>
      </c>
      <c r="AC9" s="1">
        <f t="shared" si="1"/>
        <v>0.6276211921800003</v>
      </c>
      <c r="AD9" s="1">
        <f t="shared" si="1"/>
        <v>0.5648590729620003</v>
      </c>
      <c r="AE9" s="1">
        <f t="shared" si="1"/>
        <v>0.5083731656658003</v>
      </c>
      <c r="AF9" s="1">
        <f t="shared" si="1"/>
        <v>0.45753584909922024</v>
      </c>
      <c r="AG9" s="1">
        <f t="shared" si="1"/>
        <v>0.4117822641892982</v>
      </c>
      <c r="AH9" s="1">
        <f t="shared" si="1"/>
        <v>0.3706040377703684</v>
      </c>
      <c r="AI9" s="1">
        <f t="shared" si="2"/>
        <v>0.33354363399333153</v>
      </c>
      <c r="AJ9" s="1">
        <f t="shared" si="2"/>
        <v>0.3001892705939984</v>
      </c>
    </row>
    <row r="10" spans="1:36" ht="12.75">
      <c r="A10" t="s">
        <v>33</v>
      </c>
      <c r="B10" s="1"/>
      <c r="C10" s="1">
        <f ca="1">HLOOKUP($C$5,$F$5:$O$59,CELL("row",C10)-4,FALSE)</f>
        <v>1</v>
      </c>
      <c r="D10" s="1"/>
      <c r="E10" s="1"/>
      <c r="F10" s="1">
        <v>1</v>
      </c>
      <c r="G10" s="1">
        <v>3.4</v>
      </c>
      <c r="Q10" s="1">
        <v>300</v>
      </c>
      <c r="R10" s="1">
        <f t="shared" si="3"/>
        <v>3</v>
      </c>
      <c r="S10" s="1">
        <f t="shared" si="1"/>
        <v>2.7</v>
      </c>
      <c r="T10" s="1">
        <f t="shared" si="1"/>
        <v>2.43</v>
      </c>
      <c r="U10" s="1">
        <f t="shared" si="1"/>
        <v>2.1870000000000003</v>
      </c>
      <c r="V10" s="1">
        <f t="shared" si="1"/>
        <v>1.9683000000000004</v>
      </c>
      <c r="W10" s="1">
        <f t="shared" si="1"/>
        <v>1.7714700000000003</v>
      </c>
      <c r="X10" s="1">
        <f t="shared" si="1"/>
        <v>1.5943230000000004</v>
      </c>
      <c r="Y10" s="1">
        <f t="shared" si="1"/>
        <v>1.4348907000000004</v>
      </c>
      <c r="Z10" s="1">
        <f t="shared" si="1"/>
        <v>1.2914016300000004</v>
      </c>
      <c r="AA10" s="1">
        <f t="shared" si="1"/>
        <v>1.1622614670000004</v>
      </c>
      <c r="AB10" s="1">
        <f t="shared" si="1"/>
        <v>1.0460353203000003</v>
      </c>
      <c r="AC10" s="1">
        <f t="shared" si="1"/>
        <v>0.9414317882700003</v>
      </c>
      <c r="AD10" s="1">
        <f t="shared" si="1"/>
        <v>0.8472886094430003</v>
      </c>
      <c r="AE10" s="1">
        <f t="shared" si="1"/>
        <v>0.7625597484987003</v>
      </c>
      <c r="AF10" s="1">
        <f t="shared" si="1"/>
        <v>0.6863037736488303</v>
      </c>
      <c r="AG10" s="1">
        <f t="shared" si="1"/>
        <v>0.6176733962839474</v>
      </c>
      <c r="AH10" s="1">
        <f t="shared" si="1"/>
        <v>0.5559060566555526</v>
      </c>
      <c r="AI10" s="1">
        <f t="shared" si="2"/>
        <v>0.5003154509899973</v>
      </c>
      <c r="AJ10" s="1">
        <f t="shared" si="2"/>
        <v>0.4502839058909976</v>
      </c>
    </row>
    <row r="11" spans="3:36" ht="12.75">
      <c r="C11" s="1"/>
      <c r="G11" s="1"/>
      <c r="Q11" s="1">
        <v>400</v>
      </c>
      <c r="R11" s="1">
        <f t="shared" si="3"/>
        <v>4</v>
      </c>
      <c r="S11" s="1">
        <f t="shared" si="1"/>
        <v>3.6</v>
      </c>
      <c r="T11" s="1">
        <f t="shared" si="1"/>
        <v>3.24</v>
      </c>
      <c r="U11" s="1">
        <f t="shared" si="1"/>
        <v>2.9160000000000004</v>
      </c>
      <c r="V11" s="1">
        <f t="shared" si="1"/>
        <v>2.6244000000000005</v>
      </c>
      <c r="W11" s="1">
        <f t="shared" si="1"/>
        <v>2.3619600000000007</v>
      </c>
      <c r="X11" s="1">
        <f t="shared" si="1"/>
        <v>2.1257640000000007</v>
      </c>
      <c r="Y11" s="1">
        <f t="shared" si="1"/>
        <v>1.9131876000000005</v>
      </c>
      <c r="Z11" s="1">
        <f t="shared" si="1"/>
        <v>1.7218688400000006</v>
      </c>
      <c r="AA11" s="1">
        <f t="shared" si="1"/>
        <v>1.5496819560000006</v>
      </c>
      <c r="AB11" s="1">
        <f t="shared" si="1"/>
        <v>1.3947137604000006</v>
      </c>
      <c r="AC11" s="1">
        <f t="shared" si="1"/>
        <v>1.2552423843600007</v>
      </c>
      <c r="AD11" s="1">
        <f t="shared" si="1"/>
        <v>1.1297181459240007</v>
      </c>
      <c r="AE11" s="1">
        <f t="shared" si="1"/>
        <v>1.0167463313316005</v>
      </c>
      <c r="AF11" s="1">
        <f t="shared" si="1"/>
        <v>0.9150716981984405</v>
      </c>
      <c r="AG11" s="1">
        <f t="shared" si="1"/>
        <v>0.8235645283785964</v>
      </c>
      <c r="AH11" s="1">
        <f t="shared" si="1"/>
        <v>0.7412080755407368</v>
      </c>
      <c r="AI11" s="1">
        <f t="shared" si="2"/>
        <v>0.6670872679866631</v>
      </c>
      <c r="AJ11" s="1">
        <f t="shared" si="2"/>
        <v>0.6003785411879968</v>
      </c>
    </row>
    <row r="12" spans="3:36" ht="12.75">
      <c r="C12" s="1"/>
      <c r="G12" s="1"/>
      <c r="Q12" s="1">
        <v>500</v>
      </c>
      <c r="R12" s="1">
        <f t="shared" si="3"/>
        <v>5</v>
      </c>
      <c r="S12" s="1">
        <f t="shared" si="1"/>
        <v>4.5</v>
      </c>
      <c r="T12" s="1">
        <f t="shared" si="1"/>
        <v>4.05</v>
      </c>
      <c r="U12" s="1">
        <f t="shared" si="1"/>
        <v>3.645</v>
      </c>
      <c r="V12" s="1">
        <f t="shared" si="1"/>
        <v>3.2805</v>
      </c>
      <c r="W12" s="1">
        <f t="shared" si="1"/>
        <v>2.9524500000000002</v>
      </c>
      <c r="X12" s="1">
        <f t="shared" si="1"/>
        <v>2.6572050000000003</v>
      </c>
      <c r="Y12" s="1">
        <f t="shared" si="1"/>
        <v>2.3914845000000002</v>
      </c>
      <c r="Z12" s="1">
        <f t="shared" si="1"/>
        <v>2.15233605</v>
      </c>
      <c r="AA12" s="1">
        <f t="shared" si="1"/>
        <v>1.9371024450000003</v>
      </c>
      <c r="AB12" s="1">
        <f t="shared" si="1"/>
        <v>1.7433922005000002</v>
      </c>
      <c r="AC12" s="1">
        <f t="shared" si="1"/>
        <v>1.5690529804500002</v>
      </c>
      <c r="AD12" s="1">
        <f t="shared" si="1"/>
        <v>1.412147682405</v>
      </c>
      <c r="AE12" s="1">
        <f t="shared" si="1"/>
        <v>1.2709329141645</v>
      </c>
      <c r="AF12" s="1">
        <f t="shared" si="1"/>
        <v>1.14383962274805</v>
      </c>
      <c r="AG12" s="1">
        <f t="shared" si="1"/>
        <v>1.029455660473245</v>
      </c>
      <c r="AH12" s="1">
        <f t="shared" si="1"/>
        <v>0.9265100944259205</v>
      </c>
      <c r="AI12" s="1">
        <f t="shared" si="2"/>
        <v>0.8338590849833284</v>
      </c>
      <c r="AJ12" s="1">
        <f t="shared" si="2"/>
        <v>0.7504731764849956</v>
      </c>
    </row>
    <row r="13" spans="1:36" ht="12.75">
      <c r="A13" t="s">
        <v>17</v>
      </c>
      <c r="B13" s="1" t="s">
        <v>18</v>
      </c>
      <c r="C13" s="1"/>
      <c r="D13" s="1"/>
      <c r="E13" s="1"/>
      <c r="G13" s="1"/>
      <c r="Q13" s="1">
        <v>600</v>
      </c>
      <c r="R13" s="1">
        <f t="shared" si="3"/>
        <v>6</v>
      </c>
      <c r="S13" s="1">
        <f t="shared" si="1"/>
        <v>5.4</v>
      </c>
      <c r="T13" s="1">
        <f t="shared" si="1"/>
        <v>4.86</v>
      </c>
      <c r="U13" s="1">
        <f t="shared" si="1"/>
        <v>4.3740000000000006</v>
      </c>
      <c r="V13" s="1">
        <f t="shared" si="1"/>
        <v>3.9366000000000008</v>
      </c>
      <c r="W13" s="1">
        <f t="shared" si="1"/>
        <v>3.5429400000000006</v>
      </c>
      <c r="X13" s="1">
        <f t="shared" si="1"/>
        <v>3.1886460000000008</v>
      </c>
      <c r="Y13" s="1">
        <f t="shared" si="1"/>
        <v>2.869781400000001</v>
      </c>
      <c r="Z13" s="1">
        <f t="shared" si="1"/>
        <v>2.582803260000001</v>
      </c>
      <c r="AA13" s="1">
        <f t="shared" si="1"/>
        <v>2.324522934000001</v>
      </c>
      <c r="AB13" s="1">
        <f t="shared" si="1"/>
        <v>2.0920706406000007</v>
      </c>
      <c r="AC13" s="1">
        <f t="shared" si="1"/>
        <v>1.8828635765400006</v>
      </c>
      <c r="AD13" s="1">
        <f t="shared" si="1"/>
        <v>1.6945772188860007</v>
      </c>
      <c r="AE13" s="1">
        <f t="shared" si="1"/>
        <v>1.5251194969974007</v>
      </c>
      <c r="AF13" s="1">
        <f t="shared" si="1"/>
        <v>1.3726075472976607</v>
      </c>
      <c r="AG13" s="1">
        <f t="shared" si="1"/>
        <v>1.2353467925678947</v>
      </c>
      <c r="AH13" s="1">
        <f t="shared" si="1"/>
        <v>1.1118121133111052</v>
      </c>
      <c r="AI13" s="1">
        <f t="shared" si="2"/>
        <v>1.0006309019799946</v>
      </c>
      <c r="AJ13" s="1">
        <f t="shared" si="2"/>
        <v>0.9005678117819952</v>
      </c>
    </row>
    <row r="14" spans="2:36" ht="12.75">
      <c r="B14" s="1">
        <v>0</v>
      </c>
      <c r="C14" s="1"/>
      <c r="D14" s="1"/>
      <c r="E14" s="1"/>
      <c r="F14" s="1">
        <v>0</v>
      </c>
      <c r="G14" s="1">
        <f>F14*1.2</f>
        <v>0</v>
      </c>
      <c r="Q14" s="1">
        <v>700</v>
      </c>
      <c r="R14" s="1">
        <f t="shared" si="3"/>
        <v>7</v>
      </c>
      <c r="S14" s="1">
        <f t="shared" si="1"/>
        <v>6.3</v>
      </c>
      <c r="T14" s="1">
        <f t="shared" si="1"/>
        <v>5.67</v>
      </c>
      <c r="U14" s="1">
        <f t="shared" si="1"/>
        <v>5.103</v>
      </c>
      <c r="V14" s="1">
        <f t="shared" si="1"/>
        <v>4.5927</v>
      </c>
      <c r="W14" s="1">
        <f t="shared" si="1"/>
        <v>4.13343</v>
      </c>
      <c r="X14" s="1">
        <f t="shared" si="1"/>
        <v>3.720087</v>
      </c>
      <c r="Y14" s="1">
        <f t="shared" si="1"/>
        <v>3.3480783</v>
      </c>
      <c r="Z14" s="1">
        <f t="shared" si="1"/>
        <v>3.01327047</v>
      </c>
      <c r="AA14" s="1">
        <f t="shared" si="1"/>
        <v>2.711943423</v>
      </c>
      <c r="AB14" s="1">
        <f t="shared" si="1"/>
        <v>2.4407490807000003</v>
      </c>
      <c r="AC14" s="1">
        <f t="shared" si="1"/>
        <v>2.1966741726300003</v>
      </c>
      <c r="AD14" s="1">
        <f t="shared" si="1"/>
        <v>1.9770067553670003</v>
      </c>
      <c r="AE14" s="1">
        <f t="shared" si="1"/>
        <v>1.7793060798303004</v>
      </c>
      <c r="AF14" s="1">
        <f t="shared" si="1"/>
        <v>1.6013754718472704</v>
      </c>
      <c r="AG14" s="1">
        <f t="shared" si="1"/>
        <v>1.4412379246625433</v>
      </c>
      <c r="AH14" s="1">
        <f t="shared" si="1"/>
        <v>1.297114132196289</v>
      </c>
      <c r="AI14" s="1">
        <f t="shared" si="2"/>
        <v>1.16740271897666</v>
      </c>
      <c r="AJ14" s="1">
        <f t="shared" si="2"/>
        <v>1.050662447078994</v>
      </c>
    </row>
    <row r="15" spans="2:36" ht="12.75">
      <c r="B15" s="1">
        <v>2</v>
      </c>
      <c r="C15" s="1"/>
      <c r="D15" s="1"/>
      <c r="E15" s="1"/>
      <c r="F15" s="1">
        <v>5</v>
      </c>
      <c r="G15" s="1">
        <f aca="true" t="shared" si="4" ref="G15:G59">F15*1.2</f>
        <v>6</v>
      </c>
      <c r="Q15" s="1">
        <v>800</v>
      </c>
      <c r="R15" s="1">
        <f t="shared" si="3"/>
        <v>8</v>
      </c>
      <c r="S15" s="1">
        <f t="shared" si="1"/>
        <v>7.2</v>
      </c>
      <c r="T15" s="1">
        <f t="shared" si="1"/>
        <v>6.48</v>
      </c>
      <c r="U15" s="1">
        <f t="shared" si="1"/>
        <v>5.832000000000001</v>
      </c>
      <c r="V15" s="1">
        <f t="shared" si="1"/>
        <v>5.248800000000001</v>
      </c>
      <c r="W15" s="1">
        <f t="shared" si="1"/>
        <v>4.7239200000000015</v>
      </c>
      <c r="X15" s="1">
        <f t="shared" si="1"/>
        <v>4.251528000000001</v>
      </c>
      <c r="Y15" s="1">
        <f t="shared" si="1"/>
        <v>3.826375200000001</v>
      </c>
      <c r="Z15" s="1">
        <f t="shared" si="1"/>
        <v>3.4437376800000012</v>
      </c>
      <c r="AA15" s="1">
        <f t="shared" si="1"/>
        <v>3.099363912000001</v>
      </c>
      <c r="AB15" s="1">
        <f t="shared" si="1"/>
        <v>2.7894275208000012</v>
      </c>
      <c r="AC15" s="1">
        <f t="shared" si="1"/>
        <v>2.5104847687200014</v>
      </c>
      <c r="AD15" s="1">
        <f t="shared" si="1"/>
        <v>2.2594362918480013</v>
      </c>
      <c r="AE15" s="1">
        <f t="shared" si="1"/>
        <v>2.033492662663201</v>
      </c>
      <c r="AF15" s="1">
        <f t="shared" si="1"/>
        <v>1.830143396396881</v>
      </c>
      <c r="AG15" s="1">
        <f t="shared" si="1"/>
        <v>1.6471290567571928</v>
      </c>
      <c r="AH15" s="1">
        <f t="shared" si="1"/>
        <v>1.4824161510814735</v>
      </c>
      <c r="AI15" s="1">
        <f t="shared" si="2"/>
        <v>1.3341745359733261</v>
      </c>
      <c r="AJ15" s="1">
        <f t="shared" si="2"/>
        <v>1.2007570823759937</v>
      </c>
    </row>
    <row r="16" spans="2:36" ht="12.75">
      <c r="B16" s="1">
        <v>4</v>
      </c>
      <c r="C16" s="1"/>
      <c r="D16" s="1"/>
      <c r="E16" s="1"/>
      <c r="F16" s="1">
        <v>10</v>
      </c>
      <c r="G16" s="1">
        <f t="shared" si="4"/>
        <v>12</v>
      </c>
      <c r="Q16" s="1">
        <v>900</v>
      </c>
      <c r="R16" s="1">
        <f t="shared" si="3"/>
        <v>9</v>
      </c>
      <c r="S16" s="1">
        <f t="shared" si="1"/>
        <v>8.1</v>
      </c>
      <c r="T16" s="1">
        <f t="shared" si="1"/>
        <v>7.29</v>
      </c>
      <c r="U16" s="1">
        <f t="shared" si="1"/>
        <v>6.561</v>
      </c>
      <c r="V16" s="1">
        <f t="shared" si="1"/>
        <v>5.9049000000000005</v>
      </c>
      <c r="W16" s="1">
        <f t="shared" si="1"/>
        <v>5.3144100000000005</v>
      </c>
      <c r="X16" s="1">
        <f t="shared" si="1"/>
        <v>4.7829690000000005</v>
      </c>
      <c r="Y16" s="1">
        <f t="shared" si="1"/>
        <v>4.3046721</v>
      </c>
      <c r="Z16" s="1">
        <f t="shared" si="1"/>
        <v>3.8742048900000006</v>
      </c>
      <c r="AA16" s="1">
        <f t="shared" si="1"/>
        <v>3.4867844010000004</v>
      </c>
      <c r="AB16" s="1">
        <f t="shared" si="1"/>
        <v>3.1381059609000004</v>
      </c>
      <c r="AC16" s="1">
        <f t="shared" si="1"/>
        <v>2.82429536481</v>
      </c>
      <c r="AD16" s="1">
        <f t="shared" si="1"/>
        <v>2.541865828329</v>
      </c>
      <c r="AE16" s="1">
        <f t="shared" si="1"/>
        <v>2.2876792454961</v>
      </c>
      <c r="AF16" s="1">
        <f t="shared" si="1"/>
        <v>2.05891132094649</v>
      </c>
      <c r="AG16" s="1">
        <f t="shared" si="1"/>
        <v>1.853020188851841</v>
      </c>
      <c r="AH16" s="1">
        <f t="shared" si="1"/>
        <v>1.6677181699666568</v>
      </c>
      <c r="AI16" s="1">
        <f t="shared" si="2"/>
        <v>1.5009463529699911</v>
      </c>
      <c r="AJ16" s="1">
        <f t="shared" si="2"/>
        <v>1.350851717672992</v>
      </c>
    </row>
    <row r="17" spans="2:36" ht="12.75">
      <c r="B17" s="1">
        <v>6</v>
      </c>
      <c r="C17" s="1"/>
      <c r="D17" s="1"/>
      <c r="E17" s="1"/>
      <c r="F17" s="1">
        <v>50</v>
      </c>
      <c r="G17" s="1">
        <f t="shared" si="4"/>
        <v>60</v>
      </c>
      <c r="Q17" s="1">
        <v>1000</v>
      </c>
      <c r="R17" s="1">
        <f t="shared" si="3"/>
        <v>10</v>
      </c>
      <c r="S17" s="1">
        <f t="shared" si="1"/>
        <v>9</v>
      </c>
      <c r="T17" s="1">
        <f t="shared" si="1"/>
        <v>8.1</v>
      </c>
      <c r="U17" s="1">
        <f t="shared" si="1"/>
        <v>7.29</v>
      </c>
      <c r="V17" s="1">
        <f t="shared" si="1"/>
        <v>6.561</v>
      </c>
      <c r="W17" s="1">
        <f t="shared" si="1"/>
        <v>5.9049000000000005</v>
      </c>
      <c r="X17" s="1">
        <f t="shared" si="1"/>
        <v>5.3144100000000005</v>
      </c>
      <c r="Y17" s="1">
        <f t="shared" si="1"/>
        <v>4.7829690000000005</v>
      </c>
      <c r="Z17" s="1">
        <f t="shared" si="1"/>
        <v>4.3046721</v>
      </c>
      <c r="AA17" s="1">
        <f t="shared" si="1"/>
        <v>3.8742048900000006</v>
      </c>
      <c r="AB17" s="1">
        <f t="shared" si="1"/>
        <v>3.4867844010000004</v>
      </c>
      <c r="AC17" s="1">
        <f t="shared" si="1"/>
        <v>3.1381059609000004</v>
      </c>
      <c r="AD17" s="1">
        <f t="shared" si="1"/>
        <v>2.82429536481</v>
      </c>
      <c r="AE17" s="1">
        <f t="shared" si="1"/>
        <v>2.541865828329</v>
      </c>
      <c r="AF17" s="1">
        <f t="shared" si="1"/>
        <v>2.2876792454961</v>
      </c>
      <c r="AG17" s="1">
        <f t="shared" si="1"/>
        <v>2.05891132094649</v>
      </c>
      <c r="AH17" s="1">
        <f t="shared" si="1"/>
        <v>1.853020188851841</v>
      </c>
      <c r="AI17" s="1">
        <f t="shared" si="2"/>
        <v>1.6677181699666568</v>
      </c>
      <c r="AJ17" s="1">
        <f t="shared" si="2"/>
        <v>1.5009463529699911</v>
      </c>
    </row>
    <row r="18" spans="2:36" ht="12.75">
      <c r="B18" s="1">
        <v>8</v>
      </c>
      <c r="F18" s="1">
        <v>55</v>
      </c>
      <c r="G18" s="1">
        <f t="shared" si="4"/>
        <v>66</v>
      </c>
      <c r="Q18" s="1">
        <v>1100</v>
      </c>
      <c r="R18" s="1">
        <f t="shared" si="3"/>
        <v>11</v>
      </c>
      <c r="S18" s="1">
        <f t="shared" si="1"/>
        <v>9.9</v>
      </c>
      <c r="T18" s="1">
        <f t="shared" si="1"/>
        <v>8.91</v>
      </c>
      <c r="U18" s="1">
        <f t="shared" si="1"/>
        <v>8.019</v>
      </c>
      <c r="V18" s="1">
        <f t="shared" si="1"/>
        <v>7.2171</v>
      </c>
      <c r="W18" s="1">
        <f t="shared" si="1"/>
        <v>6.49539</v>
      </c>
      <c r="X18" s="1">
        <f t="shared" si="1"/>
        <v>5.845851000000001</v>
      </c>
      <c r="Y18" s="1">
        <f t="shared" si="1"/>
        <v>5.261265900000001</v>
      </c>
      <c r="Z18" s="1">
        <f t="shared" si="1"/>
        <v>4.735139310000001</v>
      </c>
      <c r="AA18" s="1">
        <f t="shared" si="1"/>
        <v>4.261625379000001</v>
      </c>
      <c r="AB18" s="1">
        <f t="shared" si="1"/>
        <v>3.835462841100001</v>
      </c>
      <c r="AC18" s="1">
        <f t="shared" si="1"/>
        <v>3.451916556990001</v>
      </c>
      <c r="AD18" s="1">
        <f t="shared" si="1"/>
        <v>3.1067249012910008</v>
      </c>
      <c r="AE18" s="1">
        <f t="shared" si="1"/>
        <v>2.796052411161901</v>
      </c>
      <c r="AF18" s="1">
        <f t="shared" si="1"/>
        <v>2.5164471700457107</v>
      </c>
      <c r="AG18" s="1">
        <f t="shared" si="1"/>
        <v>2.2648024530411397</v>
      </c>
      <c r="AH18" s="1">
        <f t="shared" si="1"/>
        <v>2.0383222077370258</v>
      </c>
      <c r="AI18" s="1">
        <f t="shared" si="2"/>
        <v>1.8344899869633233</v>
      </c>
      <c r="AJ18" s="1">
        <f t="shared" si="2"/>
        <v>1.651040988266991</v>
      </c>
    </row>
    <row r="19" spans="2:36" ht="12.75">
      <c r="B19" s="1">
        <v>10</v>
      </c>
      <c r="F19" s="1">
        <v>60</v>
      </c>
      <c r="G19" s="1">
        <f t="shared" si="4"/>
        <v>72</v>
      </c>
      <c r="Q19" s="1">
        <v>1200</v>
      </c>
      <c r="R19" s="1">
        <f t="shared" si="3"/>
        <v>12</v>
      </c>
      <c r="S19" s="1">
        <f t="shared" si="1"/>
        <v>10.8</v>
      </c>
      <c r="T19" s="1">
        <f t="shared" si="1"/>
        <v>9.72</v>
      </c>
      <c r="U19" s="1">
        <f t="shared" si="1"/>
        <v>8.748000000000001</v>
      </c>
      <c r="V19" s="1">
        <f t="shared" si="1"/>
        <v>7.8732000000000015</v>
      </c>
      <c r="W19" s="1">
        <f t="shared" si="1"/>
        <v>7.085880000000001</v>
      </c>
      <c r="X19" s="1">
        <f t="shared" si="1"/>
        <v>6.3772920000000015</v>
      </c>
      <c r="Y19" s="1">
        <f t="shared" si="1"/>
        <v>5.739562800000002</v>
      </c>
      <c r="Z19" s="1">
        <f t="shared" si="1"/>
        <v>5.165606520000002</v>
      </c>
      <c r="AA19" s="1">
        <f t="shared" si="1"/>
        <v>4.649045868000002</v>
      </c>
      <c r="AB19" s="1">
        <f t="shared" si="1"/>
        <v>4.184141281200001</v>
      </c>
      <c r="AC19" s="1">
        <f t="shared" si="1"/>
        <v>3.765727153080001</v>
      </c>
      <c r="AD19" s="1">
        <f t="shared" si="1"/>
        <v>3.3891544377720013</v>
      </c>
      <c r="AE19" s="1">
        <f t="shared" si="1"/>
        <v>3.0502389939948014</v>
      </c>
      <c r="AF19" s="1">
        <f t="shared" si="1"/>
        <v>2.7452150945953213</v>
      </c>
      <c r="AG19" s="1">
        <f t="shared" si="1"/>
        <v>2.4706935851357894</v>
      </c>
      <c r="AH19" s="1">
        <f t="shared" si="1"/>
        <v>2.2236242266222104</v>
      </c>
      <c r="AI19" s="1">
        <f t="shared" si="2"/>
        <v>2.001261803959989</v>
      </c>
      <c r="AJ19" s="1">
        <f t="shared" si="2"/>
        <v>1.8011356235639904</v>
      </c>
    </row>
    <row r="20" spans="2:36" ht="12.75">
      <c r="B20" s="1">
        <v>12</v>
      </c>
      <c r="F20" s="1">
        <v>55</v>
      </c>
      <c r="G20" s="1">
        <f t="shared" si="4"/>
        <v>66</v>
      </c>
      <c r="Q20" s="1">
        <v>1300</v>
      </c>
      <c r="R20" s="1">
        <f t="shared" si="3"/>
        <v>13</v>
      </c>
      <c r="S20" s="1">
        <f t="shared" si="1"/>
        <v>11.700000000000001</v>
      </c>
      <c r="T20" s="1">
        <f t="shared" si="1"/>
        <v>10.530000000000001</v>
      </c>
      <c r="U20" s="1">
        <f t="shared" si="1"/>
        <v>9.477000000000002</v>
      </c>
      <c r="V20" s="1">
        <f t="shared" si="1"/>
        <v>8.529300000000003</v>
      </c>
      <c r="W20" s="1">
        <f t="shared" si="1"/>
        <v>7.676370000000003</v>
      </c>
      <c r="X20" s="1">
        <f t="shared" si="1"/>
        <v>6.9087330000000025</v>
      </c>
      <c r="Y20" s="1">
        <f t="shared" si="1"/>
        <v>6.217859700000003</v>
      </c>
      <c r="Z20" s="1">
        <f t="shared" si="1"/>
        <v>5.596073730000002</v>
      </c>
      <c r="AA20" s="1">
        <f t="shared" si="1"/>
        <v>5.036466357000002</v>
      </c>
      <c r="AB20" s="1">
        <f t="shared" si="1"/>
        <v>4.532819721300002</v>
      </c>
      <c r="AC20" s="1">
        <f t="shared" si="1"/>
        <v>4.079537749170002</v>
      </c>
      <c r="AD20" s="1">
        <f t="shared" si="1"/>
        <v>3.671583974253002</v>
      </c>
      <c r="AE20" s="1">
        <f t="shared" si="1"/>
        <v>3.3044255768277018</v>
      </c>
      <c r="AF20" s="1">
        <f t="shared" si="1"/>
        <v>2.9739830191449315</v>
      </c>
      <c r="AG20" s="1">
        <f t="shared" si="1"/>
        <v>2.6765847172304382</v>
      </c>
      <c r="AH20" s="1">
        <f t="shared" si="1"/>
        <v>2.4089262455073945</v>
      </c>
      <c r="AI20" s="1">
        <f t="shared" si="2"/>
        <v>2.1680336209566553</v>
      </c>
      <c r="AJ20" s="1">
        <f t="shared" si="2"/>
        <v>1.9512302588609898</v>
      </c>
    </row>
    <row r="21" spans="2:36" ht="12.75">
      <c r="B21" s="1">
        <v>14</v>
      </c>
      <c r="F21" s="1">
        <v>40</v>
      </c>
      <c r="G21" s="1">
        <f t="shared" si="4"/>
        <v>48</v>
      </c>
      <c r="Q21" s="1">
        <v>1400</v>
      </c>
      <c r="R21" s="1">
        <f t="shared" si="3"/>
        <v>14</v>
      </c>
      <c r="S21" s="1">
        <f t="shared" si="1"/>
        <v>12.6</v>
      </c>
      <c r="T21" s="1">
        <f t="shared" si="1"/>
        <v>11.34</v>
      </c>
      <c r="U21" s="1">
        <f t="shared" si="1"/>
        <v>10.206</v>
      </c>
      <c r="V21" s="1">
        <f t="shared" si="1"/>
        <v>9.1854</v>
      </c>
      <c r="W21" s="1">
        <f t="shared" si="1"/>
        <v>8.26686</v>
      </c>
      <c r="X21" s="1">
        <f t="shared" si="1"/>
        <v>7.440174</v>
      </c>
      <c r="Y21" s="1">
        <f t="shared" si="1"/>
        <v>6.6961566</v>
      </c>
      <c r="Z21" s="1">
        <f t="shared" si="1"/>
        <v>6.02654094</v>
      </c>
      <c r="AA21" s="1">
        <f t="shared" si="1"/>
        <v>5.423886846</v>
      </c>
      <c r="AB21" s="1">
        <f t="shared" si="1"/>
        <v>4.881498161400001</v>
      </c>
      <c r="AC21" s="1">
        <f t="shared" si="1"/>
        <v>4.393348345260001</v>
      </c>
      <c r="AD21" s="1">
        <f t="shared" si="1"/>
        <v>3.9540135107340006</v>
      </c>
      <c r="AE21" s="1">
        <f t="shared" si="1"/>
        <v>3.558612159660601</v>
      </c>
      <c r="AF21" s="1">
        <f t="shared" si="1"/>
        <v>3.2027509436945407</v>
      </c>
      <c r="AG21" s="1">
        <f>AF21*0.9</f>
        <v>2.8824758493250866</v>
      </c>
      <c r="AH21" s="1">
        <f>AG21*0.9</f>
        <v>2.594228264392578</v>
      </c>
      <c r="AI21" s="1">
        <f t="shared" si="2"/>
        <v>2.33480543795332</v>
      </c>
      <c r="AJ21" s="1">
        <f t="shared" si="2"/>
        <v>2.101324894157988</v>
      </c>
    </row>
    <row r="22" spans="2:36" ht="12.75">
      <c r="B22" s="1">
        <v>16</v>
      </c>
      <c r="F22" s="1">
        <v>25</v>
      </c>
      <c r="G22" s="1">
        <f t="shared" si="4"/>
        <v>30</v>
      </c>
      <c r="Q22" s="1">
        <v>1500</v>
      </c>
      <c r="R22" s="1">
        <f t="shared" si="3"/>
        <v>15</v>
      </c>
      <c r="S22" s="1">
        <f t="shared" si="1"/>
        <v>13.5</v>
      </c>
      <c r="T22" s="1">
        <f t="shared" si="1"/>
        <v>12.15</v>
      </c>
      <c r="U22" s="1">
        <f t="shared" si="1"/>
        <v>10.935</v>
      </c>
      <c r="V22" s="1">
        <f aca="true" t="shared" si="5" ref="V22:AJ22">U22*0.9</f>
        <v>9.8415</v>
      </c>
      <c r="W22" s="1">
        <f t="shared" si="5"/>
        <v>8.85735</v>
      </c>
      <c r="X22" s="1">
        <f t="shared" si="5"/>
        <v>7.971615000000001</v>
      </c>
      <c r="Y22" s="1">
        <f t="shared" si="5"/>
        <v>7.174453500000001</v>
      </c>
      <c r="Z22" s="1">
        <f t="shared" si="5"/>
        <v>6.457008150000001</v>
      </c>
      <c r="AA22" s="1">
        <f t="shared" si="5"/>
        <v>5.811307335000001</v>
      </c>
      <c r="AB22" s="1">
        <f t="shared" si="5"/>
        <v>5.230176601500001</v>
      </c>
      <c r="AC22" s="1">
        <f t="shared" si="5"/>
        <v>4.707158941350001</v>
      </c>
      <c r="AD22" s="1">
        <f t="shared" si="5"/>
        <v>4.236443047215001</v>
      </c>
      <c r="AE22" s="1">
        <f t="shared" si="5"/>
        <v>3.8127987424935013</v>
      </c>
      <c r="AF22" s="1">
        <f t="shared" si="5"/>
        <v>3.4315188682441513</v>
      </c>
      <c r="AG22" s="1">
        <f t="shared" si="5"/>
        <v>3.0883669814197363</v>
      </c>
      <c r="AH22" s="1">
        <f t="shared" si="5"/>
        <v>2.779530283277763</v>
      </c>
      <c r="AI22" s="1">
        <f t="shared" si="5"/>
        <v>2.5015772549499866</v>
      </c>
      <c r="AJ22" s="1">
        <f t="shared" si="5"/>
        <v>2.251419529454988</v>
      </c>
    </row>
    <row r="23" spans="2:36" ht="12.75">
      <c r="B23" s="1">
        <v>18</v>
      </c>
      <c r="F23" s="1">
        <v>23</v>
      </c>
      <c r="G23" s="1">
        <f t="shared" si="4"/>
        <v>27.599999999999998</v>
      </c>
      <c r="Q23" s="1">
        <v>1600</v>
      </c>
      <c r="R23" s="1">
        <f t="shared" si="3"/>
        <v>16</v>
      </c>
      <c r="S23" s="1">
        <f t="shared" si="1"/>
        <v>14.4</v>
      </c>
      <c r="T23" s="1">
        <f t="shared" si="1"/>
        <v>12.96</v>
      </c>
      <c r="U23" s="1">
        <f t="shared" si="1"/>
        <v>11.664000000000001</v>
      </c>
      <c r="V23" s="1">
        <f aca="true" t="shared" si="6" ref="V23:AJ23">U23*0.9</f>
        <v>10.497600000000002</v>
      </c>
      <c r="W23" s="1">
        <f t="shared" si="6"/>
        <v>9.447840000000003</v>
      </c>
      <c r="X23" s="1">
        <f t="shared" si="6"/>
        <v>8.503056000000003</v>
      </c>
      <c r="Y23" s="1">
        <f t="shared" si="6"/>
        <v>7.652750400000002</v>
      </c>
      <c r="Z23" s="1">
        <f t="shared" si="6"/>
        <v>6.8874753600000025</v>
      </c>
      <c r="AA23" s="1">
        <f t="shared" si="6"/>
        <v>6.198727824000002</v>
      </c>
      <c r="AB23" s="1">
        <f t="shared" si="6"/>
        <v>5.5788550416000025</v>
      </c>
      <c r="AC23" s="1">
        <f t="shared" si="6"/>
        <v>5.020969537440003</v>
      </c>
      <c r="AD23" s="1">
        <f t="shared" si="6"/>
        <v>4.518872583696003</v>
      </c>
      <c r="AE23" s="1">
        <f t="shared" si="6"/>
        <v>4.066985325326402</v>
      </c>
      <c r="AF23" s="1">
        <f t="shared" si="6"/>
        <v>3.660286792793762</v>
      </c>
      <c r="AG23" s="1">
        <f t="shared" si="6"/>
        <v>3.2942581135143856</v>
      </c>
      <c r="AH23" s="1">
        <f t="shared" si="6"/>
        <v>2.964832302162947</v>
      </c>
      <c r="AI23" s="1">
        <f t="shared" si="6"/>
        <v>2.6683490719466523</v>
      </c>
      <c r="AJ23" s="1">
        <f t="shared" si="6"/>
        <v>2.4015141647519873</v>
      </c>
    </row>
    <row r="24" spans="2:36" ht="12.75">
      <c r="B24" s="1">
        <v>20</v>
      </c>
      <c r="F24" s="1">
        <v>20</v>
      </c>
      <c r="G24" s="1">
        <f t="shared" si="4"/>
        <v>24</v>
      </c>
      <c r="Q24" s="1">
        <v>1700</v>
      </c>
      <c r="R24" s="1">
        <f t="shared" si="3"/>
        <v>17</v>
      </c>
      <c r="S24" s="1">
        <f t="shared" si="1"/>
        <v>15.3</v>
      </c>
      <c r="T24" s="1">
        <f t="shared" si="1"/>
        <v>13.770000000000001</v>
      </c>
      <c r="U24" s="1">
        <f t="shared" si="1"/>
        <v>12.393</v>
      </c>
      <c r="V24" s="1">
        <f aca="true" t="shared" si="7" ref="V24:AJ24">U24*0.9</f>
        <v>11.1537</v>
      </c>
      <c r="W24" s="1">
        <f t="shared" si="7"/>
        <v>10.03833</v>
      </c>
      <c r="X24" s="1">
        <f t="shared" si="7"/>
        <v>9.034497</v>
      </c>
      <c r="Y24" s="1">
        <f t="shared" si="7"/>
        <v>8.1310473</v>
      </c>
      <c r="Z24" s="1">
        <f t="shared" si="7"/>
        <v>7.3179425700000005</v>
      </c>
      <c r="AA24" s="1">
        <f t="shared" si="7"/>
        <v>6.586148313000001</v>
      </c>
      <c r="AB24" s="1">
        <f t="shared" si="7"/>
        <v>5.927533481700001</v>
      </c>
      <c r="AC24" s="1">
        <f t="shared" si="7"/>
        <v>5.334780133530002</v>
      </c>
      <c r="AD24" s="1">
        <f t="shared" si="7"/>
        <v>4.801302120177001</v>
      </c>
      <c r="AE24" s="1">
        <f t="shared" si="7"/>
        <v>4.321171908159301</v>
      </c>
      <c r="AF24" s="1">
        <f t="shared" si="7"/>
        <v>3.889054717343371</v>
      </c>
      <c r="AG24" s="1">
        <f t="shared" si="7"/>
        <v>3.500149245609034</v>
      </c>
      <c r="AH24" s="1">
        <f t="shared" si="7"/>
        <v>3.1501343210481307</v>
      </c>
      <c r="AI24" s="1">
        <f t="shared" si="7"/>
        <v>2.835120888943318</v>
      </c>
      <c r="AJ24" s="1">
        <f t="shared" si="7"/>
        <v>2.551608800048986</v>
      </c>
    </row>
    <row r="25" spans="2:36" ht="12.75">
      <c r="B25" s="1">
        <v>22</v>
      </c>
      <c r="F25" s="1">
        <v>19</v>
      </c>
      <c r="G25" s="1">
        <f t="shared" si="4"/>
        <v>22.8</v>
      </c>
      <c r="Q25" s="1">
        <v>1800</v>
      </c>
      <c r="R25" s="1">
        <f t="shared" si="3"/>
        <v>18</v>
      </c>
      <c r="S25" s="1">
        <f t="shared" si="1"/>
        <v>16.2</v>
      </c>
      <c r="T25" s="1">
        <f t="shared" si="1"/>
        <v>14.58</v>
      </c>
      <c r="U25" s="1">
        <f t="shared" si="1"/>
        <v>13.122</v>
      </c>
      <c r="V25" s="1">
        <f aca="true" t="shared" si="8" ref="V25:AJ25">U25*0.9</f>
        <v>11.809800000000001</v>
      </c>
      <c r="W25" s="1">
        <f t="shared" si="8"/>
        <v>10.628820000000001</v>
      </c>
      <c r="X25" s="1">
        <f t="shared" si="8"/>
        <v>9.565938000000001</v>
      </c>
      <c r="Y25" s="1">
        <f t="shared" si="8"/>
        <v>8.6093442</v>
      </c>
      <c r="Z25" s="1">
        <f t="shared" si="8"/>
        <v>7.748409780000001</v>
      </c>
      <c r="AA25" s="1">
        <f t="shared" si="8"/>
        <v>6.973568802000001</v>
      </c>
      <c r="AB25" s="1">
        <f t="shared" si="8"/>
        <v>6.276211921800001</v>
      </c>
      <c r="AC25" s="1">
        <f t="shared" si="8"/>
        <v>5.64859072962</v>
      </c>
      <c r="AD25" s="1">
        <f t="shared" si="8"/>
        <v>5.083731656658</v>
      </c>
      <c r="AE25" s="1">
        <f t="shared" si="8"/>
        <v>4.5753584909922</v>
      </c>
      <c r="AF25" s="1">
        <f t="shared" si="8"/>
        <v>4.11782264189298</v>
      </c>
      <c r="AG25" s="1">
        <f t="shared" si="8"/>
        <v>3.706040377703682</v>
      </c>
      <c r="AH25" s="1">
        <f t="shared" si="8"/>
        <v>3.3354363399333136</v>
      </c>
      <c r="AI25" s="1">
        <f t="shared" si="8"/>
        <v>3.0018927059399823</v>
      </c>
      <c r="AJ25" s="1">
        <f t="shared" si="8"/>
        <v>2.701703435345984</v>
      </c>
    </row>
    <row r="26" spans="2:36" ht="12.75">
      <c r="B26" s="1">
        <v>24</v>
      </c>
      <c r="F26" s="1">
        <v>18</v>
      </c>
      <c r="G26" s="1">
        <f t="shared" si="4"/>
        <v>21.599999999999998</v>
      </c>
      <c r="Q26" s="1">
        <v>1900</v>
      </c>
      <c r="R26" s="1">
        <f t="shared" si="3"/>
        <v>19</v>
      </c>
      <c r="S26" s="1">
        <f t="shared" si="1"/>
        <v>17.1</v>
      </c>
      <c r="T26" s="1">
        <f t="shared" si="1"/>
        <v>15.390000000000002</v>
      </c>
      <c r="U26" s="1">
        <f t="shared" si="1"/>
        <v>13.851000000000003</v>
      </c>
      <c r="V26" s="1">
        <f aca="true" t="shared" si="9" ref="V26:AJ26">U26*0.9</f>
        <v>12.465900000000003</v>
      </c>
      <c r="W26" s="1">
        <f t="shared" si="9"/>
        <v>11.219310000000004</v>
      </c>
      <c r="X26" s="1">
        <f t="shared" si="9"/>
        <v>10.097379000000004</v>
      </c>
      <c r="Y26" s="1">
        <f t="shared" si="9"/>
        <v>9.087641100000004</v>
      </c>
      <c r="Z26" s="1">
        <f t="shared" si="9"/>
        <v>8.178876990000004</v>
      </c>
      <c r="AA26" s="1">
        <f t="shared" si="9"/>
        <v>7.3609892910000045</v>
      </c>
      <c r="AB26" s="1">
        <f t="shared" si="9"/>
        <v>6.624890361900004</v>
      </c>
      <c r="AC26" s="1">
        <f t="shared" si="9"/>
        <v>5.962401325710004</v>
      </c>
      <c r="AD26" s="1">
        <f t="shared" si="9"/>
        <v>5.366161193139003</v>
      </c>
      <c r="AE26" s="1">
        <f t="shared" si="9"/>
        <v>4.829545073825103</v>
      </c>
      <c r="AF26" s="1">
        <f t="shared" si="9"/>
        <v>4.346590566442592</v>
      </c>
      <c r="AG26" s="1">
        <f t="shared" si="9"/>
        <v>3.9119315097983334</v>
      </c>
      <c r="AH26" s="1">
        <f t="shared" si="9"/>
        <v>3.5207383588185</v>
      </c>
      <c r="AI26" s="1">
        <f t="shared" si="9"/>
        <v>3.16866452293665</v>
      </c>
      <c r="AJ26" s="1">
        <f t="shared" si="9"/>
        <v>2.8517980706429853</v>
      </c>
    </row>
    <row r="27" spans="2:36" ht="12.75">
      <c r="B27" s="1">
        <v>26</v>
      </c>
      <c r="F27" s="1">
        <v>17</v>
      </c>
      <c r="G27" s="1">
        <f t="shared" si="4"/>
        <v>20.4</v>
      </c>
      <c r="Q27" s="1">
        <v>2000</v>
      </c>
      <c r="R27" s="1">
        <f t="shared" si="3"/>
        <v>20</v>
      </c>
      <c r="S27" s="1">
        <f t="shared" si="1"/>
        <v>18</v>
      </c>
      <c r="T27" s="1">
        <f t="shared" si="1"/>
        <v>16.2</v>
      </c>
      <c r="U27" s="1">
        <f t="shared" si="1"/>
        <v>14.58</v>
      </c>
      <c r="V27" s="1">
        <f aca="true" t="shared" si="10" ref="V27:AJ27">U27*0.9</f>
        <v>13.122</v>
      </c>
      <c r="W27" s="1">
        <f t="shared" si="10"/>
        <v>11.809800000000001</v>
      </c>
      <c r="X27" s="1">
        <f t="shared" si="10"/>
        <v>10.628820000000001</v>
      </c>
      <c r="Y27" s="1">
        <f t="shared" si="10"/>
        <v>9.565938000000001</v>
      </c>
      <c r="Z27" s="1">
        <f t="shared" si="10"/>
        <v>8.6093442</v>
      </c>
      <c r="AA27" s="1">
        <f t="shared" si="10"/>
        <v>7.748409780000001</v>
      </c>
      <c r="AB27" s="1">
        <f t="shared" si="10"/>
        <v>6.973568802000001</v>
      </c>
      <c r="AC27" s="1">
        <f t="shared" si="10"/>
        <v>6.276211921800001</v>
      </c>
      <c r="AD27" s="1">
        <f t="shared" si="10"/>
        <v>5.64859072962</v>
      </c>
      <c r="AE27" s="1">
        <f t="shared" si="10"/>
        <v>5.083731656658</v>
      </c>
      <c r="AF27" s="1">
        <f t="shared" si="10"/>
        <v>4.5753584909922</v>
      </c>
      <c r="AG27" s="1">
        <f t="shared" si="10"/>
        <v>4.11782264189298</v>
      </c>
      <c r="AH27" s="1">
        <f t="shared" si="10"/>
        <v>3.706040377703682</v>
      </c>
      <c r="AI27" s="1">
        <f t="shared" si="10"/>
        <v>3.3354363399333136</v>
      </c>
      <c r="AJ27" s="1">
        <f t="shared" si="10"/>
        <v>3.0018927059399823</v>
      </c>
    </row>
    <row r="28" spans="2:36" ht="12.75">
      <c r="B28" s="1">
        <v>28</v>
      </c>
      <c r="F28" s="1">
        <v>16</v>
      </c>
      <c r="G28" s="1">
        <f t="shared" si="4"/>
        <v>19.2</v>
      </c>
      <c r="Q28" s="1">
        <v>2100</v>
      </c>
      <c r="R28" s="1">
        <f t="shared" si="3"/>
        <v>21</v>
      </c>
      <c r="S28" s="1">
        <f t="shared" si="1"/>
        <v>18.900000000000002</v>
      </c>
      <c r="T28" s="1">
        <f t="shared" si="1"/>
        <v>17.01</v>
      </c>
      <c r="U28" s="1">
        <f t="shared" si="1"/>
        <v>15.309000000000001</v>
      </c>
      <c r="V28" s="1">
        <f aca="true" t="shared" si="11" ref="V28:AJ28">U28*0.9</f>
        <v>13.778100000000002</v>
      </c>
      <c r="W28" s="1">
        <f t="shared" si="11"/>
        <v>12.400290000000002</v>
      </c>
      <c r="X28" s="1">
        <f t="shared" si="11"/>
        <v>11.160261000000002</v>
      </c>
      <c r="Y28" s="1">
        <f t="shared" si="11"/>
        <v>10.044234900000003</v>
      </c>
      <c r="Z28" s="1">
        <f t="shared" si="11"/>
        <v>9.039811410000002</v>
      </c>
      <c r="AA28" s="1">
        <f t="shared" si="11"/>
        <v>8.135830269000003</v>
      </c>
      <c r="AB28" s="1">
        <f t="shared" si="11"/>
        <v>7.322247242100003</v>
      </c>
      <c r="AC28" s="1">
        <f t="shared" si="11"/>
        <v>6.590022517890003</v>
      </c>
      <c r="AD28" s="1">
        <f t="shared" si="11"/>
        <v>5.931020266101003</v>
      </c>
      <c r="AE28" s="1">
        <f t="shared" si="11"/>
        <v>5.337918239490903</v>
      </c>
      <c r="AF28" s="1">
        <f t="shared" si="11"/>
        <v>4.804126415541813</v>
      </c>
      <c r="AG28" s="1">
        <f t="shared" si="11"/>
        <v>4.323713773987632</v>
      </c>
      <c r="AH28" s="1">
        <f t="shared" si="11"/>
        <v>3.8913423965888687</v>
      </c>
      <c r="AI28" s="1">
        <f t="shared" si="11"/>
        <v>3.502208156929982</v>
      </c>
      <c r="AJ28" s="1">
        <f t="shared" si="11"/>
        <v>3.1519873412369837</v>
      </c>
    </row>
    <row r="29" spans="2:36" ht="12.75">
      <c r="B29" s="1">
        <v>30</v>
      </c>
      <c r="F29" s="1">
        <v>15</v>
      </c>
      <c r="G29" s="1">
        <f t="shared" si="4"/>
        <v>18</v>
      </c>
      <c r="Q29" s="1">
        <v>2200</v>
      </c>
      <c r="R29" s="1">
        <f t="shared" si="3"/>
        <v>22</v>
      </c>
      <c r="S29" s="1">
        <f t="shared" si="1"/>
        <v>19.8</v>
      </c>
      <c r="T29" s="1">
        <f t="shared" si="1"/>
        <v>17.82</v>
      </c>
      <c r="U29" s="1">
        <f t="shared" si="1"/>
        <v>16.038</v>
      </c>
      <c r="V29" s="1">
        <f aca="true" t="shared" si="12" ref="V29:AJ29">U29*0.9</f>
        <v>14.4342</v>
      </c>
      <c r="W29" s="1">
        <f t="shared" si="12"/>
        <v>12.99078</v>
      </c>
      <c r="X29" s="1">
        <f t="shared" si="12"/>
        <v>11.691702000000001</v>
      </c>
      <c r="Y29" s="1">
        <f t="shared" si="12"/>
        <v>10.522531800000001</v>
      </c>
      <c r="Z29" s="1">
        <f t="shared" si="12"/>
        <v>9.470278620000002</v>
      </c>
      <c r="AA29" s="1">
        <f t="shared" si="12"/>
        <v>8.523250758000001</v>
      </c>
      <c r="AB29" s="1">
        <f t="shared" si="12"/>
        <v>7.670925682200002</v>
      </c>
      <c r="AC29" s="1">
        <f t="shared" si="12"/>
        <v>6.903833113980002</v>
      </c>
      <c r="AD29" s="1">
        <f t="shared" si="12"/>
        <v>6.2134498025820015</v>
      </c>
      <c r="AE29" s="1">
        <f t="shared" si="12"/>
        <v>5.592104822323802</v>
      </c>
      <c r="AF29" s="1">
        <f t="shared" si="12"/>
        <v>5.0328943400914214</v>
      </c>
      <c r="AG29" s="1">
        <f t="shared" si="12"/>
        <v>4.529604906082279</v>
      </c>
      <c r="AH29" s="1">
        <f t="shared" si="12"/>
        <v>4.0766444154740515</v>
      </c>
      <c r="AI29" s="1">
        <f t="shared" si="12"/>
        <v>3.6689799739266467</v>
      </c>
      <c r="AJ29" s="1">
        <f t="shared" si="12"/>
        <v>3.302081976533982</v>
      </c>
    </row>
    <row r="30" spans="2:36" ht="12.75">
      <c r="B30" s="1">
        <v>32</v>
      </c>
      <c r="F30" s="1">
        <v>14</v>
      </c>
      <c r="G30" s="1">
        <f t="shared" si="4"/>
        <v>16.8</v>
      </c>
      <c r="Q30" s="1">
        <v>2300</v>
      </c>
      <c r="R30" s="1">
        <f t="shared" si="3"/>
        <v>23</v>
      </c>
      <c r="S30" s="1">
        <f t="shared" si="1"/>
        <v>20.7</v>
      </c>
      <c r="T30" s="1">
        <f t="shared" si="1"/>
        <v>18.63</v>
      </c>
      <c r="U30" s="1">
        <f t="shared" si="1"/>
        <v>16.767</v>
      </c>
      <c r="V30" s="1">
        <f aca="true" t="shared" si="13" ref="V30:AJ30">U30*0.9</f>
        <v>15.0903</v>
      </c>
      <c r="W30" s="1">
        <f t="shared" si="13"/>
        <v>13.58127</v>
      </c>
      <c r="X30" s="1">
        <f t="shared" si="13"/>
        <v>12.223143</v>
      </c>
      <c r="Y30" s="1">
        <f t="shared" si="13"/>
        <v>11.000828700000001</v>
      </c>
      <c r="Z30" s="1">
        <f t="shared" si="13"/>
        <v>9.900745830000002</v>
      </c>
      <c r="AA30" s="1">
        <f t="shared" si="13"/>
        <v>8.910671247000002</v>
      </c>
      <c r="AB30" s="1">
        <f t="shared" si="13"/>
        <v>8.019604122300002</v>
      </c>
      <c r="AC30" s="1">
        <f t="shared" si="13"/>
        <v>7.217643710070003</v>
      </c>
      <c r="AD30" s="1">
        <f t="shared" si="13"/>
        <v>6.495879339063002</v>
      </c>
      <c r="AE30" s="1">
        <f t="shared" si="13"/>
        <v>5.846291405156702</v>
      </c>
      <c r="AF30" s="1">
        <f t="shared" si="13"/>
        <v>5.261662264641032</v>
      </c>
      <c r="AG30" s="1">
        <f t="shared" si="13"/>
        <v>4.735496038176929</v>
      </c>
      <c r="AH30" s="1">
        <f t="shared" si="13"/>
        <v>4.261946434359236</v>
      </c>
      <c r="AI30" s="1">
        <f t="shared" si="13"/>
        <v>3.8357517909233123</v>
      </c>
      <c r="AJ30" s="1">
        <f t="shared" si="13"/>
        <v>3.452176611830981</v>
      </c>
    </row>
    <row r="31" spans="2:36" ht="12.75">
      <c r="B31" s="1">
        <v>34</v>
      </c>
      <c r="F31" s="1">
        <v>13</v>
      </c>
      <c r="G31" s="1">
        <f t="shared" si="4"/>
        <v>15.6</v>
      </c>
      <c r="Q31" s="1">
        <v>2400</v>
      </c>
      <c r="R31" s="1">
        <f t="shared" si="3"/>
        <v>24</v>
      </c>
      <c r="S31" s="1">
        <f t="shared" si="1"/>
        <v>21.6</v>
      </c>
      <c r="T31" s="1">
        <f t="shared" si="1"/>
        <v>19.44</v>
      </c>
      <c r="U31" s="1">
        <f t="shared" si="1"/>
        <v>17.496000000000002</v>
      </c>
      <c r="V31" s="1">
        <f aca="true" t="shared" si="14" ref="V31:AJ31">U31*0.9</f>
        <v>15.746400000000003</v>
      </c>
      <c r="W31" s="1">
        <f t="shared" si="14"/>
        <v>14.171760000000003</v>
      </c>
      <c r="X31" s="1">
        <f t="shared" si="14"/>
        <v>12.754584000000003</v>
      </c>
      <c r="Y31" s="1">
        <f t="shared" si="14"/>
        <v>11.479125600000003</v>
      </c>
      <c r="Z31" s="1">
        <f t="shared" si="14"/>
        <v>10.331213040000003</v>
      </c>
      <c r="AA31" s="1">
        <f t="shared" si="14"/>
        <v>9.298091736000003</v>
      </c>
      <c r="AB31" s="1">
        <f t="shared" si="14"/>
        <v>8.368282562400003</v>
      </c>
      <c r="AC31" s="1">
        <f t="shared" si="14"/>
        <v>7.531454306160002</v>
      </c>
      <c r="AD31" s="1">
        <f t="shared" si="14"/>
        <v>6.778308875544003</v>
      </c>
      <c r="AE31" s="1">
        <f t="shared" si="14"/>
        <v>6.100477987989603</v>
      </c>
      <c r="AF31" s="1">
        <f t="shared" si="14"/>
        <v>5.490430189190643</v>
      </c>
      <c r="AG31" s="1">
        <f t="shared" si="14"/>
        <v>4.941387170271579</v>
      </c>
      <c r="AH31" s="1">
        <f t="shared" si="14"/>
        <v>4.447248453244421</v>
      </c>
      <c r="AI31" s="1">
        <f t="shared" si="14"/>
        <v>4.002523607919978</v>
      </c>
      <c r="AJ31" s="1">
        <f t="shared" si="14"/>
        <v>3.6022712471279807</v>
      </c>
    </row>
    <row r="32" spans="2:36" ht="12.75">
      <c r="B32" s="1">
        <v>36</v>
      </c>
      <c r="F32" s="1">
        <v>12</v>
      </c>
      <c r="G32" s="1">
        <f t="shared" si="4"/>
        <v>14.399999999999999</v>
      </c>
      <c r="Q32" s="1">
        <v>2500</v>
      </c>
      <c r="R32" s="1">
        <f t="shared" si="3"/>
        <v>25</v>
      </c>
      <c r="S32" s="1">
        <f t="shared" si="1"/>
        <v>22.5</v>
      </c>
      <c r="T32" s="1">
        <f t="shared" si="1"/>
        <v>20.25</v>
      </c>
      <c r="U32" s="1">
        <f t="shared" si="1"/>
        <v>18.225</v>
      </c>
      <c r="V32" s="1">
        <f aca="true" t="shared" si="15" ref="V32:AJ32">U32*0.9</f>
        <v>16.402500000000003</v>
      </c>
      <c r="W32" s="1">
        <f t="shared" si="15"/>
        <v>14.762250000000003</v>
      </c>
      <c r="X32" s="1">
        <f t="shared" si="15"/>
        <v>13.286025000000004</v>
      </c>
      <c r="Y32" s="1">
        <f t="shared" si="15"/>
        <v>11.957422500000003</v>
      </c>
      <c r="Z32" s="1">
        <f t="shared" si="15"/>
        <v>10.761680250000003</v>
      </c>
      <c r="AA32" s="1">
        <f t="shared" si="15"/>
        <v>9.685512225000004</v>
      </c>
      <c r="AB32" s="1">
        <f t="shared" si="15"/>
        <v>8.716961002500003</v>
      </c>
      <c r="AC32" s="1">
        <f t="shared" si="15"/>
        <v>7.845264902250003</v>
      </c>
      <c r="AD32" s="1">
        <f t="shared" si="15"/>
        <v>7.060738412025003</v>
      </c>
      <c r="AE32" s="1">
        <f t="shared" si="15"/>
        <v>6.354664570822503</v>
      </c>
      <c r="AF32" s="1">
        <f t="shared" si="15"/>
        <v>5.719198113740252</v>
      </c>
      <c r="AG32" s="1">
        <f t="shared" si="15"/>
        <v>5.147278302366227</v>
      </c>
      <c r="AH32" s="1">
        <f t="shared" si="15"/>
        <v>4.632550472129605</v>
      </c>
      <c r="AI32" s="1">
        <f t="shared" si="15"/>
        <v>4.169295424916645</v>
      </c>
      <c r="AJ32" s="1">
        <f t="shared" si="15"/>
        <v>3.7523658824249804</v>
      </c>
    </row>
    <row r="33" spans="2:7" ht="12.75">
      <c r="B33" s="1">
        <v>38</v>
      </c>
      <c r="F33" s="1">
        <v>12</v>
      </c>
      <c r="G33" s="1">
        <f t="shared" si="4"/>
        <v>14.399999999999999</v>
      </c>
    </row>
    <row r="34" spans="2:7" ht="12.75">
      <c r="B34" s="1">
        <v>40</v>
      </c>
      <c r="F34" s="1">
        <v>12</v>
      </c>
      <c r="G34" s="1">
        <f t="shared" si="4"/>
        <v>14.399999999999999</v>
      </c>
    </row>
    <row r="35" spans="2:7" ht="12.75">
      <c r="B35" s="1">
        <v>42</v>
      </c>
      <c r="F35" s="1">
        <v>12</v>
      </c>
      <c r="G35" s="1">
        <f t="shared" si="4"/>
        <v>14.399999999999999</v>
      </c>
    </row>
    <row r="36" spans="2:7" ht="12.75">
      <c r="B36" s="1">
        <v>44</v>
      </c>
      <c r="F36" s="1">
        <v>12</v>
      </c>
      <c r="G36" s="1">
        <f t="shared" si="4"/>
        <v>14.399999999999999</v>
      </c>
    </row>
    <row r="37" spans="2:7" ht="12.75">
      <c r="B37" s="1">
        <v>46</v>
      </c>
      <c r="F37" s="1">
        <v>12</v>
      </c>
      <c r="G37" s="1">
        <f t="shared" si="4"/>
        <v>14.399999999999999</v>
      </c>
    </row>
    <row r="38" spans="2:7" ht="12.75">
      <c r="B38" s="1">
        <v>48</v>
      </c>
      <c r="F38" s="1">
        <v>12</v>
      </c>
      <c r="G38" s="1">
        <f t="shared" si="4"/>
        <v>14.399999999999999</v>
      </c>
    </row>
    <row r="39" spans="2:7" ht="12.75">
      <c r="B39" s="1">
        <v>50</v>
      </c>
      <c r="F39" s="1">
        <v>12</v>
      </c>
      <c r="G39" s="1">
        <f t="shared" si="4"/>
        <v>14.399999999999999</v>
      </c>
    </row>
    <row r="40" spans="2:7" ht="12.75">
      <c r="B40" s="1">
        <v>52</v>
      </c>
      <c r="F40" s="1">
        <v>12</v>
      </c>
      <c r="G40" s="1">
        <f t="shared" si="4"/>
        <v>14.399999999999999</v>
      </c>
    </row>
    <row r="41" spans="2:7" ht="12.75">
      <c r="B41" s="1">
        <v>54</v>
      </c>
      <c r="F41" s="1">
        <v>12</v>
      </c>
      <c r="G41" s="1">
        <f t="shared" si="4"/>
        <v>14.399999999999999</v>
      </c>
    </row>
    <row r="42" spans="2:7" ht="12.75">
      <c r="B42" s="1">
        <v>56</v>
      </c>
      <c r="F42" s="1">
        <v>12</v>
      </c>
      <c r="G42" s="1">
        <f t="shared" si="4"/>
        <v>14.399999999999999</v>
      </c>
    </row>
    <row r="43" spans="2:7" ht="12.75">
      <c r="B43" s="1">
        <v>58</v>
      </c>
      <c r="F43" s="1">
        <v>12</v>
      </c>
      <c r="G43" s="1">
        <f t="shared" si="4"/>
        <v>14.399999999999999</v>
      </c>
    </row>
    <row r="44" spans="2:7" ht="12.75">
      <c r="B44" s="1">
        <v>60</v>
      </c>
      <c r="F44" s="1">
        <v>12</v>
      </c>
      <c r="G44" s="1">
        <f t="shared" si="4"/>
        <v>14.399999999999999</v>
      </c>
    </row>
    <row r="45" spans="2:7" ht="12.75">
      <c r="B45" s="1">
        <v>62</v>
      </c>
      <c r="F45" s="1">
        <v>12</v>
      </c>
      <c r="G45" s="1">
        <f t="shared" si="4"/>
        <v>14.399999999999999</v>
      </c>
    </row>
    <row r="46" spans="2:7" ht="12.75">
      <c r="B46" s="1">
        <v>64</v>
      </c>
      <c r="F46" s="1">
        <v>12</v>
      </c>
      <c r="G46" s="1">
        <f t="shared" si="4"/>
        <v>14.399999999999999</v>
      </c>
    </row>
    <row r="47" spans="2:7" ht="12.75">
      <c r="B47" s="1">
        <v>66</v>
      </c>
      <c r="F47" s="1">
        <v>12</v>
      </c>
      <c r="G47" s="1">
        <f t="shared" si="4"/>
        <v>14.399999999999999</v>
      </c>
    </row>
    <row r="48" spans="2:7" ht="12.75">
      <c r="B48" s="1">
        <v>68</v>
      </c>
      <c r="F48" s="1">
        <v>12</v>
      </c>
      <c r="G48" s="1">
        <f t="shared" si="4"/>
        <v>14.399999999999999</v>
      </c>
    </row>
    <row r="49" spans="2:7" ht="12.75">
      <c r="B49" s="1">
        <v>70</v>
      </c>
      <c r="F49" s="1">
        <v>12</v>
      </c>
      <c r="G49" s="1">
        <f t="shared" si="4"/>
        <v>14.399999999999999</v>
      </c>
    </row>
    <row r="50" spans="2:7" ht="12.75">
      <c r="B50" s="1">
        <v>72</v>
      </c>
      <c r="F50" s="1">
        <v>12</v>
      </c>
      <c r="G50" s="1">
        <f t="shared" si="4"/>
        <v>14.399999999999999</v>
      </c>
    </row>
    <row r="51" spans="2:7" ht="12.75">
      <c r="B51" s="1">
        <v>74</v>
      </c>
      <c r="F51" s="1">
        <v>12</v>
      </c>
      <c r="G51" s="1">
        <f t="shared" si="4"/>
        <v>14.399999999999999</v>
      </c>
    </row>
    <row r="52" spans="2:7" ht="12.75">
      <c r="B52" s="1">
        <v>76</v>
      </c>
      <c r="F52" s="1">
        <v>12</v>
      </c>
      <c r="G52" s="1">
        <f t="shared" si="4"/>
        <v>14.399999999999999</v>
      </c>
    </row>
    <row r="53" spans="2:7" ht="12.75">
      <c r="B53" s="1">
        <v>78</v>
      </c>
      <c r="F53" s="1">
        <v>12</v>
      </c>
      <c r="G53" s="1">
        <f t="shared" si="4"/>
        <v>14.399999999999999</v>
      </c>
    </row>
    <row r="54" spans="2:7" ht="12.75">
      <c r="B54" s="1">
        <v>80</v>
      </c>
      <c r="F54" s="1">
        <v>12</v>
      </c>
      <c r="G54" s="1">
        <f t="shared" si="4"/>
        <v>14.399999999999999</v>
      </c>
    </row>
    <row r="55" spans="2:7" ht="12.75">
      <c r="B55" s="1">
        <v>82</v>
      </c>
      <c r="F55" s="1">
        <v>12</v>
      </c>
      <c r="G55" s="1">
        <f t="shared" si="4"/>
        <v>14.399999999999999</v>
      </c>
    </row>
    <row r="56" spans="2:7" ht="12.75">
      <c r="B56" s="1">
        <v>84</v>
      </c>
      <c r="F56" s="1">
        <v>12</v>
      </c>
      <c r="G56" s="1">
        <f t="shared" si="4"/>
        <v>14.399999999999999</v>
      </c>
    </row>
    <row r="57" spans="2:7" ht="12.75">
      <c r="B57" s="1">
        <v>86</v>
      </c>
      <c r="F57" s="1">
        <v>10</v>
      </c>
      <c r="G57" s="1">
        <f t="shared" si="4"/>
        <v>12</v>
      </c>
    </row>
    <row r="58" spans="2:7" ht="12.75">
      <c r="B58" s="1">
        <v>88</v>
      </c>
      <c r="F58" s="1">
        <v>8</v>
      </c>
      <c r="G58" s="1">
        <f t="shared" si="4"/>
        <v>9.6</v>
      </c>
    </row>
    <row r="59" spans="2:7" ht="12.75">
      <c r="B59" s="1">
        <v>90</v>
      </c>
      <c r="F59" s="1">
        <v>2</v>
      </c>
      <c r="G59" s="1">
        <f t="shared" si="4"/>
        <v>2.4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L133"/>
  <sheetViews>
    <sheetView workbookViewId="0" topLeftCell="A12">
      <pane ySplit="735" topLeftCell="BM1" activePane="bottomLeft" state="split"/>
      <selection pane="topLeft" activeCell="I73" sqref="I73"/>
      <selection pane="bottomLeft" activeCell="I15" sqref="I15"/>
    </sheetView>
  </sheetViews>
  <sheetFormatPr defaultColWidth="9.140625" defaultRowHeight="12.75"/>
  <cols>
    <col min="1" max="1" width="25.8515625" style="0" bestFit="1" customWidth="1"/>
    <col min="3" max="3" width="18.7109375" style="1" bestFit="1" customWidth="1"/>
    <col min="6" max="6" width="18.7109375" style="1" bestFit="1" customWidth="1"/>
    <col min="7" max="8" width="9.140625" style="1" customWidth="1"/>
  </cols>
  <sheetData>
    <row r="4" spans="3:6" ht="12.75">
      <c r="C4" s="1" t="s">
        <v>7</v>
      </c>
      <c r="F4" s="1" t="s">
        <v>5</v>
      </c>
    </row>
    <row r="5" spans="3:12" ht="12.75">
      <c r="C5" s="1">
        <f>Sheet1!C2</f>
        <v>2</v>
      </c>
      <c r="F5" s="1">
        <v>1</v>
      </c>
      <c r="G5" s="1">
        <v>2</v>
      </c>
      <c r="H5" s="1">
        <v>3</v>
      </c>
      <c r="I5" s="1">
        <v>4</v>
      </c>
      <c r="J5">
        <v>5</v>
      </c>
      <c r="K5">
        <v>6</v>
      </c>
      <c r="L5">
        <v>7</v>
      </c>
    </row>
    <row r="6" ht="12.75">
      <c r="I6" s="1"/>
    </row>
    <row r="7" spans="1:9" ht="12.75">
      <c r="A7" t="s">
        <v>8</v>
      </c>
      <c r="C7" s="1" t="str">
        <f ca="1">HLOOKUP($C$5,$F$5:$O$133,CELL("row",C7)-4,FALSE)</f>
        <v>wing</v>
      </c>
      <c r="F7" s="1" t="s">
        <v>9</v>
      </c>
      <c r="G7" s="1" t="s">
        <v>11</v>
      </c>
      <c r="H7" s="1" t="s">
        <v>12</v>
      </c>
      <c r="I7" s="1" t="s">
        <v>49</v>
      </c>
    </row>
    <row r="8" spans="1:9" ht="12.75">
      <c r="A8" t="s">
        <v>1</v>
      </c>
      <c r="B8" s="1" t="s">
        <v>4</v>
      </c>
      <c r="C8" s="1">
        <f ca="1">HLOOKUP($C$5,$F$5:$O$133,CELL("row",C8)-4,FALSE)</f>
        <v>20</v>
      </c>
      <c r="D8" s="1"/>
      <c r="E8" s="1"/>
      <c r="F8" s="1">
        <v>11</v>
      </c>
      <c r="G8" s="1">
        <v>20</v>
      </c>
      <c r="H8" s="1">
        <v>50</v>
      </c>
      <c r="I8" s="1">
        <v>11</v>
      </c>
    </row>
    <row r="9" spans="1:9" ht="12.75">
      <c r="A9" t="s">
        <v>2</v>
      </c>
      <c r="B9" s="1" t="s">
        <v>3</v>
      </c>
      <c r="C9" s="1">
        <f ca="1">HLOOKUP($C$5,$F$5:$O$133,CELL("row",C9)-4,FALSE)</f>
        <v>1</v>
      </c>
      <c r="D9" s="1"/>
      <c r="E9" s="1"/>
      <c r="F9" s="1">
        <v>1</v>
      </c>
      <c r="G9" s="1">
        <v>1</v>
      </c>
      <c r="H9" s="1">
        <v>8</v>
      </c>
      <c r="I9" s="1">
        <v>1</v>
      </c>
    </row>
    <row r="12" spans="1:9" ht="12.75">
      <c r="A12" t="s">
        <v>6</v>
      </c>
      <c r="B12" s="1">
        <v>0</v>
      </c>
      <c r="C12" s="1">
        <f aca="true" ca="1" t="shared" si="0" ref="C12:C22">HLOOKUP($C$5,$F$5:$O$133,CELL("row",C12)-4,FALSE)</f>
        <v>0.30000000000000004</v>
      </c>
      <c r="D12" s="1"/>
      <c r="E12" s="1"/>
      <c r="F12" s="1">
        <v>0.2</v>
      </c>
      <c r="G12" s="1">
        <f>F12*1.5</f>
        <v>0.30000000000000004</v>
      </c>
      <c r="I12" s="1">
        <f>F12</f>
        <v>0.2</v>
      </c>
    </row>
    <row r="13" spans="2:9" ht="12.75">
      <c r="B13" s="1">
        <v>1</v>
      </c>
      <c r="C13" s="1">
        <f ca="1" t="shared" si="0"/>
        <v>0.44999999999999996</v>
      </c>
      <c r="D13" s="1"/>
      <c r="E13" s="1"/>
      <c r="F13" s="1">
        <v>0.3</v>
      </c>
      <c r="G13" s="1">
        <f aca="true" t="shared" si="1" ref="G13:G72">F13*1.5</f>
        <v>0.44999999999999996</v>
      </c>
      <c r="I13" s="1">
        <f aca="true" t="shared" si="2" ref="I13:I72">F13</f>
        <v>0.3</v>
      </c>
    </row>
    <row r="14" spans="2:9" ht="12.75">
      <c r="B14" s="1">
        <v>2</v>
      </c>
      <c r="C14" s="1">
        <f ca="1" t="shared" si="0"/>
        <v>0.6000000000000001</v>
      </c>
      <c r="D14" s="1"/>
      <c r="E14" s="1"/>
      <c r="F14" s="1">
        <v>0.4</v>
      </c>
      <c r="G14" s="1">
        <f t="shared" si="1"/>
        <v>0.6000000000000001</v>
      </c>
      <c r="I14" s="1">
        <f t="shared" si="2"/>
        <v>0.4</v>
      </c>
    </row>
    <row r="15" spans="2:9" ht="12.75">
      <c r="B15" s="1">
        <v>3</v>
      </c>
      <c r="C15" s="1">
        <f ca="1" t="shared" si="0"/>
        <v>0.75</v>
      </c>
      <c r="D15" s="1"/>
      <c r="E15" s="1"/>
      <c r="F15" s="1">
        <v>0.5</v>
      </c>
      <c r="G15" s="1">
        <f t="shared" si="1"/>
        <v>0.75</v>
      </c>
      <c r="I15" s="1">
        <f t="shared" si="2"/>
        <v>0.5</v>
      </c>
    </row>
    <row r="16" spans="2:9" ht="12.75">
      <c r="B16" s="1">
        <v>4</v>
      </c>
      <c r="C16" s="1">
        <f ca="1" t="shared" si="0"/>
        <v>0.8999999999999999</v>
      </c>
      <c r="D16" s="1"/>
      <c r="E16" s="1"/>
      <c r="F16" s="1">
        <v>0.6</v>
      </c>
      <c r="G16" s="1">
        <f t="shared" si="1"/>
        <v>0.8999999999999999</v>
      </c>
      <c r="I16" s="1">
        <f t="shared" si="2"/>
        <v>0.6</v>
      </c>
    </row>
    <row r="17" spans="2:9" ht="12.75">
      <c r="B17" s="1">
        <v>5</v>
      </c>
      <c r="C17" s="1">
        <f ca="1" t="shared" si="0"/>
        <v>1.0499999999999998</v>
      </c>
      <c r="D17" s="1"/>
      <c r="E17" s="1"/>
      <c r="F17" s="1">
        <v>0.7</v>
      </c>
      <c r="G17" s="1">
        <f t="shared" si="1"/>
        <v>1.0499999999999998</v>
      </c>
      <c r="I17" s="1">
        <f t="shared" si="2"/>
        <v>0.7</v>
      </c>
    </row>
    <row r="18" spans="2:9" ht="12.75">
      <c r="B18" s="1">
        <v>6</v>
      </c>
      <c r="C18" s="1">
        <f ca="1" t="shared" si="0"/>
        <v>1.2000000000000002</v>
      </c>
      <c r="D18" s="1"/>
      <c r="E18" s="1"/>
      <c r="F18" s="1">
        <v>0.8</v>
      </c>
      <c r="G18" s="1">
        <f t="shared" si="1"/>
        <v>1.2000000000000002</v>
      </c>
      <c r="I18" s="1">
        <f t="shared" si="2"/>
        <v>0.8</v>
      </c>
    </row>
    <row r="19" spans="2:9" ht="12.75">
      <c r="B19" s="1">
        <v>7</v>
      </c>
      <c r="C19" s="1">
        <f ca="1" t="shared" si="0"/>
        <v>1.35</v>
      </c>
      <c r="D19" s="1"/>
      <c r="E19" s="1"/>
      <c r="F19" s="1">
        <v>0.9</v>
      </c>
      <c r="G19" s="1">
        <f t="shared" si="1"/>
        <v>1.35</v>
      </c>
      <c r="I19" s="1">
        <f t="shared" si="2"/>
        <v>0.9</v>
      </c>
    </row>
    <row r="20" spans="2:9" ht="12.75">
      <c r="B20" s="1">
        <v>8</v>
      </c>
      <c r="C20" s="1">
        <f ca="1" t="shared" si="0"/>
        <v>1.5</v>
      </c>
      <c r="D20" s="1"/>
      <c r="E20" s="1"/>
      <c r="F20" s="1">
        <v>1</v>
      </c>
      <c r="G20" s="1">
        <f t="shared" si="1"/>
        <v>1.5</v>
      </c>
      <c r="I20" s="1">
        <f t="shared" si="2"/>
        <v>1</v>
      </c>
    </row>
    <row r="21" spans="2:9" ht="12.75">
      <c r="B21" s="1">
        <v>9</v>
      </c>
      <c r="C21" s="1">
        <f ca="1" t="shared" si="0"/>
        <v>1.6500000000000001</v>
      </c>
      <c r="D21" s="1"/>
      <c r="E21" s="1"/>
      <c r="F21" s="1">
        <v>1.1</v>
      </c>
      <c r="G21" s="1">
        <f t="shared" si="1"/>
        <v>1.6500000000000001</v>
      </c>
      <c r="I21" s="1">
        <f t="shared" si="2"/>
        <v>1.1</v>
      </c>
    </row>
    <row r="22" spans="2:9" ht="12.75">
      <c r="B22" s="1">
        <v>10</v>
      </c>
      <c r="C22" s="1">
        <f ca="1" t="shared" si="0"/>
        <v>1.7999999999999998</v>
      </c>
      <c r="D22" s="1"/>
      <c r="E22" s="1"/>
      <c r="F22" s="1">
        <v>1.2</v>
      </c>
      <c r="G22" s="1">
        <f t="shared" si="1"/>
        <v>1.7999999999999998</v>
      </c>
      <c r="I22" s="1">
        <f t="shared" si="2"/>
        <v>1.2</v>
      </c>
    </row>
    <row r="23" spans="2:9" ht="12.75">
      <c r="B23" s="1">
        <v>11</v>
      </c>
      <c r="C23" s="1">
        <f aca="true" ca="1" t="shared" si="3" ref="C23:C86">HLOOKUP($C$5,$F$5:$O$133,CELL("row",C23)-4,FALSE)</f>
        <v>1.9500000000000002</v>
      </c>
      <c r="D23" s="1"/>
      <c r="E23" s="1"/>
      <c r="F23" s="1">
        <v>1.3</v>
      </c>
      <c r="G23" s="1">
        <f t="shared" si="1"/>
        <v>1.9500000000000002</v>
      </c>
      <c r="I23" s="1">
        <f t="shared" si="2"/>
        <v>1.3</v>
      </c>
    </row>
    <row r="24" spans="2:9" ht="12.75">
      <c r="B24" s="1">
        <v>12</v>
      </c>
      <c r="C24" s="1">
        <f ca="1" t="shared" si="3"/>
        <v>2.0999999999999996</v>
      </c>
      <c r="D24" s="1"/>
      <c r="E24" s="1"/>
      <c r="F24" s="1">
        <v>1.4</v>
      </c>
      <c r="G24" s="1">
        <f t="shared" si="1"/>
        <v>2.0999999999999996</v>
      </c>
      <c r="I24" s="1">
        <f t="shared" si="2"/>
        <v>1.4</v>
      </c>
    </row>
    <row r="25" spans="2:9" ht="12.75">
      <c r="B25" s="1">
        <v>13</v>
      </c>
      <c r="C25" s="1">
        <f ca="1" t="shared" si="3"/>
        <v>2.25</v>
      </c>
      <c r="D25" s="1"/>
      <c r="E25" s="1"/>
      <c r="F25" s="1">
        <v>1.5</v>
      </c>
      <c r="G25" s="1">
        <f t="shared" si="1"/>
        <v>2.25</v>
      </c>
      <c r="I25" s="1">
        <f t="shared" si="2"/>
        <v>1.5</v>
      </c>
    </row>
    <row r="26" spans="2:9" ht="12.75">
      <c r="B26" s="1">
        <v>14</v>
      </c>
      <c r="C26" s="1">
        <f ca="1" t="shared" si="3"/>
        <v>2.4000000000000004</v>
      </c>
      <c r="D26" s="1"/>
      <c r="E26" s="1"/>
      <c r="F26" s="1">
        <v>1.6</v>
      </c>
      <c r="G26" s="1">
        <f t="shared" si="1"/>
        <v>2.4000000000000004</v>
      </c>
      <c r="I26" s="1">
        <f t="shared" si="2"/>
        <v>1.6</v>
      </c>
    </row>
    <row r="27" spans="2:9" ht="12.75">
      <c r="B27" s="1">
        <v>15</v>
      </c>
      <c r="C27" s="1">
        <f ca="1" t="shared" si="3"/>
        <v>2.55</v>
      </c>
      <c r="D27" s="1"/>
      <c r="E27" s="1"/>
      <c r="F27" s="1">
        <v>1.7</v>
      </c>
      <c r="G27" s="1">
        <f t="shared" si="1"/>
        <v>2.55</v>
      </c>
      <c r="I27" s="1">
        <f t="shared" si="2"/>
        <v>1.7</v>
      </c>
    </row>
    <row r="28" spans="2:9" ht="12.75">
      <c r="B28" s="1">
        <v>16</v>
      </c>
      <c r="C28" s="1">
        <f ca="1" t="shared" si="3"/>
        <v>2.7</v>
      </c>
      <c r="D28" s="1"/>
      <c r="E28" s="1"/>
      <c r="F28" s="1">
        <v>1.8</v>
      </c>
      <c r="G28" s="1">
        <f t="shared" si="1"/>
        <v>2.7</v>
      </c>
      <c r="I28" s="1">
        <f t="shared" si="2"/>
        <v>1.8</v>
      </c>
    </row>
    <row r="29" spans="2:9" ht="12.75">
      <c r="B29" s="1">
        <v>17</v>
      </c>
      <c r="C29" s="1">
        <f ca="1" t="shared" si="3"/>
        <v>2.625</v>
      </c>
      <c r="D29" s="1"/>
      <c r="E29" s="1"/>
      <c r="F29" s="1">
        <v>1.75</v>
      </c>
      <c r="G29" s="1">
        <f t="shared" si="1"/>
        <v>2.625</v>
      </c>
      <c r="I29" s="1">
        <f t="shared" si="2"/>
        <v>1.75</v>
      </c>
    </row>
    <row r="30" spans="2:9" ht="12.75">
      <c r="B30" s="1">
        <v>18</v>
      </c>
      <c r="C30" s="1">
        <f ca="1" t="shared" si="3"/>
        <v>2.55</v>
      </c>
      <c r="D30" s="1"/>
      <c r="E30" s="1"/>
      <c r="F30" s="1">
        <v>1.7</v>
      </c>
      <c r="G30" s="1">
        <f t="shared" si="1"/>
        <v>2.55</v>
      </c>
      <c r="I30" s="1">
        <f t="shared" si="2"/>
        <v>1.7</v>
      </c>
    </row>
    <row r="31" spans="2:9" ht="12.75">
      <c r="B31" s="1">
        <v>19</v>
      </c>
      <c r="C31" s="1">
        <f ca="1" t="shared" si="3"/>
        <v>2.4749999999999996</v>
      </c>
      <c r="D31" s="1"/>
      <c r="E31" s="1"/>
      <c r="F31" s="1">
        <v>1.65</v>
      </c>
      <c r="G31" s="1">
        <f t="shared" si="1"/>
        <v>2.4749999999999996</v>
      </c>
      <c r="I31" s="1">
        <f t="shared" si="2"/>
        <v>1.65</v>
      </c>
    </row>
    <row r="32" spans="2:9" ht="12.75">
      <c r="B32" s="1">
        <v>20</v>
      </c>
      <c r="C32" s="1">
        <f ca="1" t="shared" si="3"/>
        <v>2.4000000000000004</v>
      </c>
      <c r="D32" s="1"/>
      <c r="E32" s="1"/>
      <c r="F32" s="1">
        <v>1.6</v>
      </c>
      <c r="G32" s="1">
        <f t="shared" si="1"/>
        <v>2.4000000000000004</v>
      </c>
      <c r="I32" s="1">
        <f t="shared" si="2"/>
        <v>1.6</v>
      </c>
    </row>
    <row r="33" spans="2:9" ht="12.75">
      <c r="B33" s="1">
        <v>21</v>
      </c>
      <c r="C33" s="1">
        <f ca="1" t="shared" si="3"/>
        <v>2.325</v>
      </c>
      <c r="D33" s="1"/>
      <c r="E33" s="1"/>
      <c r="F33" s="1">
        <v>1.55</v>
      </c>
      <c r="G33" s="1">
        <f t="shared" si="1"/>
        <v>2.325</v>
      </c>
      <c r="I33" s="1">
        <f t="shared" si="2"/>
        <v>1.55</v>
      </c>
    </row>
    <row r="34" spans="2:9" ht="12.75">
      <c r="B34" s="1">
        <v>22</v>
      </c>
      <c r="C34" s="1">
        <f ca="1" t="shared" si="3"/>
        <v>2.25</v>
      </c>
      <c r="D34" s="1"/>
      <c r="E34" s="1"/>
      <c r="F34" s="1">
        <v>1.5</v>
      </c>
      <c r="G34" s="1">
        <f t="shared" si="1"/>
        <v>2.25</v>
      </c>
      <c r="I34" s="1">
        <f t="shared" si="2"/>
        <v>1.5</v>
      </c>
    </row>
    <row r="35" spans="2:9" ht="12.75">
      <c r="B35" s="1">
        <v>23</v>
      </c>
      <c r="C35" s="1">
        <f ca="1" t="shared" si="3"/>
        <v>2.175</v>
      </c>
      <c r="D35" s="1"/>
      <c r="E35" s="1"/>
      <c r="F35" s="1">
        <v>1.45</v>
      </c>
      <c r="G35" s="1">
        <f t="shared" si="1"/>
        <v>2.175</v>
      </c>
      <c r="I35" s="1">
        <f t="shared" si="2"/>
        <v>1.45</v>
      </c>
    </row>
    <row r="36" spans="2:9" ht="12.75">
      <c r="B36" s="1">
        <v>24</v>
      </c>
      <c r="C36" s="1">
        <f ca="1" t="shared" si="3"/>
        <v>2.0999999999999996</v>
      </c>
      <c r="D36" s="1"/>
      <c r="E36" s="1"/>
      <c r="F36" s="1">
        <v>1.4</v>
      </c>
      <c r="G36" s="1">
        <f t="shared" si="1"/>
        <v>2.0999999999999996</v>
      </c>
      <c r="I36" s="1">
        <f t="shared" si="2"/>
        <v>1.4</v>
      </c>
    </row>
    <row r="37" spans="2:9" ht="12.75">
      <c r="B37" s="1">
        <v>25</v>
      </c>
      <c r="C37" s="1">
        <f ca="1" t="shared" si="3"/>
        <v>2.0250000000000004</v>
      </c>
      <c r="D37" s="1"/>
      <c r="E37" s="1"/>
      <c r="F37" s="1">
        <v>1.35</v>
      </c>
      <c r="G37" s="1">
        <f t="shared" si="1"/>
        <v>2.0250000000000004</v>
      </c>
      <c r="I37" s="1">
        <f t="shared" si="2"/>
        <v>1.35</v>
      </c>
    </row>
    <row r="38" spans="2:9" ht="12.75">
      <c r="B38" s="1">
        <v>26</v>
      </c>
      <c r="C38" s="1">
        <f ca="1" t="shared" si="3"/>
        <v>1.9500000000000002</v>
      </c>
      <c r="D38" s="1"/>
      <c r="E38" s="1"/>
      <c r="F38" s="1">
        <v>1.3</v>
      </c>
      <c r="G38" s="1">
        <f t="shared" si="1"/>
        <v>1.9500000000000002</v>
      </c>
      <c r="I38" s="1">
        <f t="shared" si="2"/>
        <v>1.3</v>
      </c>
    </row>
    <row r="39" spans="2:9" ht="12.75">
      <c r="B39" s="1">
        <v>27</v>
      </c>
      <c r="C39" s="1">
        <f ca="1" t="shared" si="3"/>
        <v>1.875</v>
      </c>
      <c r="D39" s="1"/>
      <c r="E39" s="1"/>
      <c r="F39" s="1">
        <v>1.25</v>
      </c>
      <c r="G39" s="1">
        <f t="shared" si="1"/>
        <v>1.875</v>
      </c>
      <c r="I39" s="1">
        <f t="shared" si="2"/>
        <v>1.25</v>
      </c>
    </row>
    <row r="40" spans="2:9" ht="12.75">
      <c r="B40" s="1">
        <v>28</v>
      </c>
      <c r="C40" s="1">
        <f ca="1" t="shared" si="3"/>
        <v>1.7999999999999998</v>
      </c>
      <c r="D40" s="1"/>
      <c r="E40" s="1"/>
      <c r="F40" s="1">
        <v>1.2</v>
      </c>
      <c r="G40" s="1">
        <f t="shared" si="1"/>
        <v>1.7999999999999998</v>
      </c>
      <c r="I40" s="1">
        <f t="shared" si="2"/>
        <v>1.2</v>
      </c>
    </row>
    <row r="41" spans="2:9" ht="12.75">
      <c r="B41" s="1">
        <v>29</v>
      </c>
      <c r="C41" s="1">
        <f ca="1" t="shared" si="3"/>
        <v>1.7249999999999999</v>
      </c>
      <c r="D41" s="1"/>
      <c r="E41" s="1"/>
      <c r="F41" s="1">
        <v>1.15</v>
      </c>
      <c r="G41" s="1">
        <f t="shared" si="1"/>
        <v>1.7249999999999999</v>
      </c>
      <c r="I41" s="1">
        <f t="shared" si="2"/>
        <v>1.15</v>
      </c>
    </row>
    <row r="42" spans="2:9" ht="12.75">
      <c r="B42" s="1">
        <v>30</v>
      </c>
      <c r="C42" s="1">
        <f ca="1" t="shared" si="3"/>
        <v>1.6500000000000001</v>
      </c>
      <c r="D42" s="1"/>
      <c r="E42" s="1"/>
      <c r="F42" s="1">
        <v>1.1</v>
      </c>
      <c r="G42" s="1">
        <f t="shared" si="1"/>
        <v>1.6500000000000001</v>
      </c>
      <c r="I42" s="1">
        <f t="shared" si="2"/>
        <v>1.1</v>
      </c>
    </row>
    <row r="43" spans="2:9" ht="12.75">
      <c r="B43" s="1">
        <v>31</v>
      </c>
      <c r="C43" s="1">
        <f ca="1" t="shared" si="3"/>
        <v>1.5750000000000002</v>
      </c>
      <c r="D43" s="1"/>
      <c r="E43" s="1"/>
      <c r="F43" s="1">
        <v>1.05</v>
      </c>
      <c r="G43" s="1">
        <f t="shared" si="1"/>
        <v>1.5750000000000002</v>
      </c>
      <c r="I43" s="1">
        <f t="shared" si="2"/>
        <v>1.05</v>
      </c>
    </row>
    <row r="44" spans="2:9" ht="12.75">
      <c r="B44" s="1">
        <v>32</v>
      </c>
      <c r="C44" s="1">
        <f ca="1" t="shared" si="3"/>
        <v>1.4999999999999984</v>
      </c>
      <c r="D44" s="1"/>
      <c r="E44" s="1"/>
      <c r="F44" s="1">
        <v>0.999999999999999</v>
      </c>
      <c r="G44" s="1">
        <f t="shared" si="1"/>
        <v>1.4999999999999984</v>
      </c>
      <c r="I44" s="1">
        <f t="shared" si="2"/>
        <v>0.999999999999999</v>
      </c>
    </row>
    <row r="45" spans="2:9" ht="12.75">
      <c r="B45" s="1">
        <v>33</v>
      </c>
      <c r="C45" s="1">
        <f ca="1" t="shared" si="3"/>
        <v>1.4249999999999985</v>
      </c>
      <c r="D45" s="1"/>
      <c r="E45" s="1"/>
      <c r="F45" s="1">
        <v>0.949999999999999</v>
      </c>
      <c r="G45" s="1">
        <f t="shared" si="1"/>
        <v>1.4249999999999985</v>
      </c>
      <c r="I45" s="1">
        <f t="shared" si="2"/>
        <v>0.949999999999999</v>
      </c>
    </row>
    <row r="46" spans="2:9" ht="12.75">
      <c r="B46" s="1">
        <v>34</v>
      </c>
      <c r="C46" s="1">
        <f ca="1" t="shared" si="3"/>
        <v>1.3499999999999985</v>
      </c>
      <c r="D46" s="1"/>
      <c r="E46" s="1"/>
      <c r="F46" s="1">
        <v>0.899999999999999</v>
      </c>
      <c r="G46" s="1">
        <f t="shared" si="1"/>
        <v>1.3499999999999985</v>
      </c>
      <c r="I46" s="1">
        <f t="shared" si="2"/>
        <v>0.899999999999999</v>
      </c>
    </row>
    <row r="47" spans="2:9" ht="12.75">
      <c r="B47" s="1">
        <v>35</v>
      </c>
      <c r="C47" s="1">
        <f ca="1" t="shared" si="3"/>
        <v>1.2749999999999986</v>
      </c>
      <c r="D47" s="1"/>
      <c r="E47" s="1"/>
      <c r="F47" s="1">
        <v>0.849999999999999</v>
      </c>
      <c r="G47" s="1">
        <f t="shared" si="1"/>
        <v>1.2749999999999986</v>
      </c>
      <c r="I47" s="1">
        <f t="shared" si="2"/>
        <v>0.849999999999999</v>
      </c>
    </row>
    <row r="48" spans="2:9" ht="12.75">
      <c r="B48" s="1">
        <v>36</v>
      </c>
      <c r="C48" s="1">
        <f ca="1" t="shared" si="3"/>
        <v>1.2000000000000002</v>
      </c>
      <c r="D48" s="1"/>
      <c r="E48" s="1"/>
      <c r="F48" s="1">
        <v>0.8</v>
      </c>
      <c r="G48" s="1">
        <f t="shared" si="1"/>
        <v>1.2000000000000002</v>
      </c>
      <c r="I48" s="1">
        <f t="shared" si="2"/>
        <v>0.8</v>
      </c>
    </row>
    <row r="49" spans="2:9" ht="12.75">
      <c r="B49" s="1">
        <v>37</v>
      </c>
      <c r="C49" s="1">
        <f ca="1" t="shared" si="3"/>
        <v>1.125</v>
      </c>
      <c r="D49" s="1"/>
      <c r="E49" s="1"/>
      <c r="F49" s="1">
        <v>0.75</v>
      </c>
      <c r="G49" s="1">
        <f t="shared" si="1"/>
        <v>1.125</v>
      </c>
      <c r="I49" s="1">
        <f t="shared" si="2"/>
        <v>0.75</v>
      </c>
    </row>
    <row r="50" spans="2:9" ht="12.75">
      <c r="B50" s="1">
        <v>38</v>
      </c>
      <c r="C50" s="1">
        <f ca="1" t="shared" si="3"/>
        <v>1.0499999999999998</v>
      </c>
      <c r="D50" s="1"/>
      <c r="E50" s="1"/>
      <c r="F50" s="1">
        <v>0.7</v>
      </c>
      <c r="G50" s="1">
        <f t="shared" si="1"/>
        <v>1.0499999999999998</v>
      </c>
      <c r="I50" s="1">
        <f t="shared" si="2"/>
        <v>0.7</v>
      </c>
    </row>
    <row r="51" spans="2:9" ht="12.75">
      <c r="B51" s="1">
        <v>39</v>
      </c>
      <c r="C51" s="1">
        <f ca="1" t="shared" si="3"/>
        <v>0.9750000000000001</v>
      </c>
      <c r="D51" s="1"/>
      <c r="E51" s="1"/>
      <c r="F51" s="1">
        <v>0.65</v>
      </c>
      <c r="G51" s="1">
        <f t="shared" si="1"/>
        <v>0.9750000000000001</v>
      </c>
      <c r="I51" s="1">
        <f t="shared" si="2"/>
        <v>0.65</v>
      </c>
    </row>
    <row r="52" spans="2:9" ht="12.75">
      <c r="B52" s="1">
        <v>40</v>
      </c>
      <c r="C52" s="1">
        <f ca="1" t="shared" si="3"/>
        <v>0.8999999999999999</v>
      </c>
      <c r="D52" s="1"/>
      <c r="E52" s="1"/>
      <c r="F52" s="1">
        <v>0.6</v>
      </c>
      <c r="G52" s="1">
        <f t="shared" si="1"/>
        <v>0.8999999999999999</v>
      </c>
      <c r="I52" s="1">
        <f t="shared" si="2"/>
        <v>0.6</v>
      </c>
    </row>
    <row r="53" spans="2:9" ht="12.75">
      <c r="B53" s="1">
        <v>41</v>
      </c>
      <c r="C53" s="1">
        <f ca="1" t="shared" si="3"/>
        <v>0.8250000000000001</v>
      </c>
      <c r="D53" s="1"/>
      <c r="E53" s="1"/>
      <c r="F53" s="1">
        <v>0.55</v>
      </c>
      <c r="G53" s="1">
        <f t="shared" si="1"/>
        <v>0.8250000000000001</v>
      </c>
      <c r="I53" s="1">
        <f t="shared" si="2"/>
        <v>0.55</v>
      </c>
    </row>
    <row r="54" spans="2:9" ht="12.75">
      <c r="B54" s="1">
        <v>42</v>
      </c>
      <c r="C54" s="1">
        <f ca="1" t="shared" si="3"/>
        <v>0.75</v>
      </c>
      <c r="D54" s="1"/>
      <c r="E54" s="1"/>
      <c r="F54" s="1">
        <v>0.5</v>
      </c>
      <c r="G54" s="1">
        <f t="shared" si="1"/>
        <v>0.75</v>
      </c>
      <c r="I54" s="1">
        <f t="shared" si="2"/>
        <v>0.5</v>
      </c>
    </row>
    <row r="55" spans="2:9" ht="12.75">
      <c r="B55" s="1">
        <v>43</v>
      </c>
      <c r="C55" s="1">
        <f ca="1" t="shared" si="3"/>
        <v>0.675</v>
      </c>
      <c r="D55" s="1"/>
      <c r="E55" s="1"/>
      <c r="F55" s="1">
        <v>0.45</v>
      </c>
      <c r="G55" s="1">
        <f t="shared" si="1"/>
        <v>0.675</v>
      </c>
      <c r="I55" s="1">
        <f t="shared" si="2"/>
        <v>0.45</v>
      </c>
    </row>
    <row r="56" spans="2:9" ht="12.75">
      <c r="B56" s="1">
        <v>44</v>
      </c>
      <c r="C56" s="1">
        <f ca="1" t="shared" si="3"/>
        <v>0.6000000000000001</v>
      </c>
      <c r="D56" s="1"/>
      <c r="E56" s="1"/>
      <c r="F56" s="1">
        <v>0.4</v>
      </c>
      <c r="G56" s="1">
        <f t="shared" si="1"/>
        <v>0.6000000000000001</v>
      </c>
      <c r="I56" s="1">
        <f t="shared" si="2"/>
        <v>0.4</v>
      </c>
    </row>
    <row r="57" spans="2:9" ht="12.75">
      <c r="B57" s="1">
        <v>45</v>
      </c>
      <c r="C57" s="1">
        <f ca="1" t="shared" si="3"/>
        <v>0.5249999999999999</v>
      </c>
      <c r="D57" s="1"/>
      <c r="E57" s="1"/>
      <c r="F57" s="1">
        <v>0.35</v>
      </c>
      <c r="G57" s="1">
        <f t="shared" si="1"/>
        <v>0.5249999999999999</v>
      </c>
      <c r="I57" s="1">
        <f t="shared" si="2"/>
        <v>0.35</v>
      </c>
    </row>
    <row r="58" spans="2:9" ht="12.75">
      <c r="B58" s="1">
        <v>46</v>
      </c>
      <c r="C58" s="1">
        <f ca="1" t="shared" si="3"/>
        <v>0.44999999999999996</v>
      </c>
      <c r="D58" s="1"/>
      <c r="E58" s="1"/>
      <c r="F58" s="1">
        <v>0.3</v>
      </c>
      <c r="G58" s="1">
        <f t="shared" si="1"/>
        <v>0.44999999999999996</v>
      </c>
      <c r="I58" s="1">
        <f t="shared" si="2"/>
        <v>0.3</v>
      </c>
    </row>
    <row r="59" spans="2:9" ht="12.75">
      <c r="B59" s="1">
        <v>47</v>
      </c>
      <c r="C59" s="1">
        <f ca="1" t="shared" si="3"/>
        <v>0.375</v>
      </c>
      <c r="D59" s="1"/>
      <c r="E59" s="1"/>
      <c r="F59" s="1">
        <v>0.25</v>
      </c>
      <c r="G59" s="1">
        <f t="shared" si="1"/>
        <v>0.375</v>
      </c>
      <c r="I59" s="1">
        <f t="shared" si="2"/>
        <v>0.25</v>
      </c>
    </row>
    <row r="60" spans="2:9" ht="12.75">
      <c r="B60" s="1">
        <v>48</v>
      </c>
      <c r="C60" s="1">
        <f ca="1" t="shared" si="3"/>
        <v>0.30000000000000004</v>
      </c>
      <c r="D60" s="1"/>
      <c r="E60" s="1"/>
      <c r="F60" s="1">
        <v>0.2</v>
      </c>
      <c r="G60" s="1">
        <f t="shared" si="1"/>
        <v>0.30000000000000004</v>
      </c>
      <c r="I60" s="1">
        <f t="shared" si="2"/>
        <v>0.2</v>
      </c>
    </row>
    <row r="61" spans="2:9" ht="12.75">
      <c r="B61" s="1">
        <v>49</v>
      </c>
      <c r="C61" s="1">
        <f ca="1" t="shared" si="3"/>
        <v>0.22499999999999998</v>
      </c>
      <c r="D61" s="1"/>
      <c r="E61" s="1"/>
      <c r="F61" s="1">
        <v>0.15</v>
      </c>
      <c r="G61" s="1">
        <f t="shared" si="1"/>
        <v>0.22499999999999998</v>
      </c>
      <c r="I61" s="1">
        <f t="shared" si="2"/>
        <v>0.15</v>
      </c>
    </row>
    <row r="62" spans="2:9" ht="12.75">
      <c r="B62" s="1">
        <v>50</v>
      </c>
      <c r="C62" s="1">
        <f ca="1" t="shared" si="3"/>
        <v>0.15000000000000002</v>
      </c>
      <c r="D62" s="1"/>
      <c r="E62" s="1"/>
      <c r="F62" s="1">
        <v>0.1</v>
      </c>
      <c r="G62" s="1">
        <f t="shared" si="1"/>
        <v>0.15000000000000002</v>
      </c>
      <c r="I62" s="1">
        <f t="shared" si="2"/>
        <v>0.1</v>
      </c>
    </row>
    <row r="63" spans="2:9" ht="12.75">
      <c r="B63" s="1">
        <v>51</v>
      </c>
      <c r="C63" s="1">
        <f ca="1" t="shared" si="3"/>
        <v>0.07500000000000001</v>
      </c>
      <c r="D63" s="1"/>
      <c r="E63" s="1"/>
      <c r="F63" s="1">
        <v>0.05</v>
      </c>
      <c r="G63" s="1">
        <f t="shared" si="1"/>
        <v>0.07500000000000001</v>
      </c>
      <c r="I63" s="1">
        <f t="shared" si="2"/>
        <v>0.05</v>
      </c>
    </row>
    <row r="64" spans="2:9" ht="12.75">
      <c r="B64" s="1">
        <v>52</v>
      </c>
      <c r="C64" s="1">
        <f ca="1" t="shared" si="3"/>
        <v>0</v>
      </c>
      <c r="D64" s="1"/>
      <c r="E64" s="1"/>
      <c r="F64" s="1">
        <v>0</v>
      </c>
      <c r="G64" s="1">
        <f t="shared" si="1"/>
        <v>0</v>
      </c>
      <c r="I64" s="1">
        <f t="shared" si="2"/>
        <v>0</v>
      </c>
    </row>
    <row r="65" spans="2:9" ht="12.75">
      <c r="B65" s="1">
        <v>53</v>
      </c>
      <c r="C65" s="1">
        <f ca="1" t="shared" si="3"/>
        <v>-0.07500000000000001</v>
      </c>
      <c r="D65" s="1"/>
      <c r="E65" s="1"/>
      <c r="F65" s="1">
        <v>-0.05</v>
      </c>
      <c r="G65" s="1">
        <f t="shared" si="1"/>
        <v>-0.07500000000000001</v>
      </c>
      <c r="I65" s="1">
        <f t="shared" si="2"/>
        <v>-0.05</v>
      </c>
    </row>
    <row r="66" spans="2:9" ht="12.75">
      <c r="B66" s="1">
        <v>54</v>
      </c>
      <c r="C66" s="1">
        <f ca="1" t="shared" si="3"/>
        <v>-0.15000000000000002</v>
      </c>
      <c r="D66" s="1"/>
      <c r="E66" s="1"/>
      <c r="F66" s="1">
        <v>-0.1</v>
      </c>
      <c r="G66" s="1">
        <f t="shared" si="1"/>
        <v>-0.15000000000000002</v>
      </c>
      <c r="I66" s="1">
        <f t="shared" si="2"/>
        <v>-0.1</v>
      </c>
    </row>
    <row r="67" spans="2:9" ht="12.75">
      <c r="B67" s="1">
        <v>55</v>
      </c>
      <c r="C67" s="1">
        <f ca="1" t="shared" si="3"/>
        <v>-0.22499999999999998</v>
      </c>
      <c r="D67" s="1"/>
      <c r="E67" s="1"/>
      <c r="F67" s="1">
        <v>-0.15</v>
      </c>
      <c r="G67" s="1">
        <f t="shared" si="1"/>
        <v>-0.22499999999999998</v>
      </c>
      <c r="I67" s="1">
        <f t="shared" si="2"/>
        <v>-0.15</v>
      </c>
    </row>
    <row r="68" spans="2:9" ht="12.75">
      <c r="B68" s="1">
        <v>56</v>
      </c>
      <c r="C68" s="1">
        <f ca="1" t="shared" si="3"/>
        <v>-0.30000000000000004</v>
      </c>
      <c r="D68" s="1"/>
      <c r="E68" s="1"/>
      <c r="F68" s="1">
        <v>-0.2</v>
      </c>
      <c r="G68" s="1">
        <f t="shared" si="1"/>
        <v>-0.30000000000000004</v>
      </c>
      <c r="I68" s="1">
        <f t="shared" si="2"/>
        <v>-0.2</v>
      </c>
    </row>
    <row r="69" spans="2:9" ht="12.75">
      <c r="B69" s="1">
        <v>57</v>
      </c>
      <c r="C69" s="1">
        <f ca="1" t="shared" si="3"/>
        <v>-0.375</v>
      </c>
      <c r="D69" s="1"/>
      <c r="E69" s="1"/>
      <c r="F69" s="1">
        <v>-0.25</v>
      </c>
      <c r="G69" s="1">
        <f t="shared" si="1"/>
        <v>-0.375</v>
      </c>
      <c r="I69" s="1">
        <f t="shared" si="2"/>
        <v>-0.25</v>
      </c>
    </row>
    <row r="70" spans="2:9" ht="12.75">
      <c r="B70" s="1">
        <v>58</v>
      </c>
      <c r="C70" s="1">
        <f ca="1" t="shared" si="3"/>
        <v>-0.44999999999999996</v>
      </c>
      <c r="D70" s="1"/>
      <c r="E70" s="1"/>
      <c r="F70" s="1">
        <v>-0.3</v>
      </c>
      <c r="G70" s="1">
        <f t="shared" si="1"/>
        <v>-0.44999999999999996</v>
      </c>
      <c r="I70" s="1">
        <f t="shared" si="2"/>
        <v>-0.3</v>
      </c>
    </row>
    <row r="71" spans="2:9" ht="12.75">
      <c r="B71" s="1">
        <v>59</v>
      </c>
      <c r="C71" s="1">
        <f ca="1" t="shared" si="3"/>
        <v>-0.5249999999999999</v>
      </c>
      <c r="D71" s="1"/>
      <c r="E71" s="1"/>
      <c r="F71" s="1">
        <v>-0.35</v>
      </c>
      <c r="G71" s="1">
        <f t="shared" si="1"/>
        <v>-0.5249999999999999</v>
      </c>
      <c r="I71" s="1">
        <f t="shared" si="2"/>
        <v>-0.35</v>
      </c>
    </row>
    <row r="72" spans="2:9" ht="12.75">
      <c r="B72" s="1">
        <v>60</v>
      </c>
      <c r="C72" s="1">
        <f ca="1" t="shared" si="3"/>
        <v>-0.6000000000000001</v>
      </c>
      <c r="D72" s="1"/>
      <c r="E72" s="1"/>
      <c r="F72" s="1">
        <v>-0.4</v>
      </c>
      <c r="G72" s="1">
        <f t="shared" si="1"/>
        <v>-0.6000000000000001</v>
      </c>
      <c r="I72" s="1">
        <f t="shared" si="2"/>
        <v>-0.4</v>
      </c>
    </row>
    <row r="73" spans="1:9" ht="12.75">
      <c r="A73" t="s">
        <v>10</v>
      </c>
      <c r="B73" s="1">
        <v>0</v>
      </c>
      <c r="C73" s="1">
        <f ca="1" t="shared" si="3"/>
        <v>0.30000000000000004</v>
      </c>
      <c r="F73" s="5">
        <f>F12/7.8</f>
        <v>0.025641025641025644</v>
      </c>
      <c r="G73" s="1">
        <f>G12</f>
        <v>0.30000000000000004</v>
      </c>
      <c r="I73" s="1">
        <f>F73/4</f>
        <v>0.006410256410256411</v>
      </c>
    </row>
    <row r="74" spans="2:9" ht="12.75">
      <c r="B74" s="1">
        <v>1</v>
      </c>
      <c r="C74" s="1">
        <f ca="1" t="shared" si="3"/>
        <v>0.44999999999999996</v>
      </c>
      <c r="F74" s="5">
        <f aca="true" t="shared" si="4" ref="F74:F133">F13/7.8</f>
        <v>0.038461538461538464</v>
      </c>
      <c r="G74" s="1">
        <f aca="true" t="shared" si="5" ref="G74:G133">G13</f>
        <v>0.44999999999999996</v>
      </c>
      <c r="I74" s="1">
        <f aca="true" t="shared" si="6" ref="I74:I133">F74/4</f>
        <v>0.009615384615384616</v>
      </c>
    </row>
    <row r="75" spans="2:9" ht="12.75">
      <c r="B75" s="1">
        <v>2</v>
      </c>
      <c r="C75" s="1">
        <f ca="1" t="shared" si="3"/>
        <v>0.6000000000000001</v>
      </c>
      <c r="F75" s="5">
        <f t="shared" si="4"/>
        <v>0.05128205128205129</v>
      </c>
      <c r="G75" s="1">
        <f t="shared" si="5"/>
        <v>0.6000000000000001</v>
      </c>
      <c r="I75" s="1">
        <f t="shared" si="6"/>
        <v>0.012820512820512822</v>
      </c>
    </row>
    <row r="76" spans="2:9" ht="12.75">
      <c r="B76" s="1">
        <v>3</v>
      </c>
      <c r="C76" s="1">
        <f ca="1" t="shared" si="3"/>
        <v>0.75</v>
      </c>
      <c r="F76" s="5">
        <f t="shared" si="4"/>
        <v>0.06410256410256411</v>
      </c>
      <c r="G76" s="1">
        <f t="shared" si="5"/>
        <v>0.75</v>
      </c>
      <c r="I76" s="1">
        <f t="shared" si="6"/>
        <v>0.016025641025641028</v>
      </c>
    </row>
    <row r="77" spans="2:9" ht="12.75">
      <c r="B77" s="1">
        <v>4</v>
      </c>
      <c r="C77" s="1">
        <f ca="1" t="shared" si="3"/>
        <v>0.8999999999999999</v>
      </c>
      <c r="F77" s="5">
        <f t="shared" si="4"/>
        <v>0.07692307692307693</v>
      </c>
      <c r="G77" s="1">
        <f t="shared" si="5"/>
        <v>0.8999999999999999</v>
      </c>
      <c r="I77" s="1">
        <f t="shared" si="6"/>
        <v>0.019230769230769232</v>
      </c>
    </row>
    <row r="78" spans="2:9" ht="12.75">
      <c r="B78" s="1">
        <v>5</v>
      </c>
      <c r="C78" s="1">
        <f ca="1" t="shared" si="3"/>
        <v>1.0499999999999998</v>
      </c>
      <c r="F78" s="5">
        <f t="shared" si="4"/>
        <v>0.08974358974358974</v>
      </c>
      <c r="G78" s="1">
        <f t="shared" si="5"/>
        <v>1.0499999999999998</v>
      </c>
      <c r="I78" s="1">
        <f t="shared" si="6"/>
        <v>0.022435897435897436</v>
      </c>
    </row>
    <row r="79" spans="2:9" ht="12.75">
      <c r="B79" s="1">
        <v>6</v>
      </c>
      <c r="C79" s="1">
        <f ca="1" t="shared" si="3"/>
        <v>1.2000000000000002</v>
      </c>
      <c r="F79" s="5">
        <f t="shared" si="4"/>
        <v>0.10256410256410257</v>
      </c>
      <c r="G79" s="1">
        <f t="shared" si="5"/>
        <v>1.2000000000000002</v>
      </c>
      <c r="I79" s="1">
        <f t="shared" si="6"/>
        <v>0.025641025641025644</v>
      </c>
    </row>
    <row r="80" spans="2:9" ht="12.75">
      <c r="B80" s="1">
        <v>7</v>
      </c>
      <c r="C80" s="1">
        <f ca="1" t="shared" si="3"/>
        <v>1.35</v>
      </c>
      <c r="F80" s="5">
        <f t="shared" si="4"/>
        <v>0.11538461538461539</v>
      </c>
      <c r="G80" s="1">
        <f t="shared" si="5"/>
        <v>1.35</v>
      </c>
      <c r="I80" s="1">
        <f t="shared" si="6"/>
        <v>0.028846153846153848</v>
      </c>
    </row>
    <row r="81" spans="2:9" ht="12.75">
      <c r="B81" s="1">
        <v>8</v>
      </c>
      <c r="C81" s="1">
        <f ca="1" t="shared" si="3"/>
        <v>1.5</v>
      </c>
      <c r="F81" s="5">
        <f t="shared" si="4"/>
        <v>0.12820512820512822</v>
      </c>
      <c r="G81" s="1">
        <f t="shared" si="5"/>
        <v>1.5</v>
      </c>
      <c r="I81" s="1">
        <f t="shared" si="6"/>
        <v>0.032051282051282055</v>
      </c>
    </row>
    <row r="82" spans="2:9" ht="12.75">
      <c r="B82" s="1">
        <v>9</v>
      </c>
      <c r="C82" s="1">
        <f ca="1" t="shared" si="3"/>
        <v>1.6500000000000001</v>
      </c>
      <c r="F82" s="5">
        <f t="shared" si="4"/>
        <v>0.14102564102564105</v>
      </c>
      <c r="G82" s="1">
        <f t="shared" si="5"/>
        <v>1.6500000000000001</v>
      </c>
      <c r="I82" s="1">
        <f t="shared" si="6"/>
        <v>0.03525641025641026</v>
      </c>
    </row>
    <row r="83" spans="2:9" ht="12.75">
      <c r="B83" s="1">
        <v>10</v>
      </c>
      <c r="C83" s="1">
        <f ca="1" t="shared" si="3"/>
        <v>1.7999999999999998</v>
      </c>
      <c r="F83" s="5">
        <f t="shared" si="4"/>
        <v>0.15384615384615385</v>
      </c>
      <c r="G83" s="1">
        <f t="shared" si="5"/>
        <v>1.7999999999999998</v>
      </c>
      <c r="I83" s="1">
        <f t="shared" si="6"/>
        <v>0.038461538461538464</v>
      </c>
    </row>
    <row r="84" spans="2:9" ht="12.75">
      <c r="B84" s="1">
        <v>11</v>
      </c>
      <c r="C84" s="1">
        <f ca="1" t="shared" si="3"/>
        <v>1.9500000000000002</v>
      </c>
      <c r="F84" s="5">
        <f t="shared" si="4"/>
        <v>0.16666666666666669</v>
      </c>
      <c r="G84" s="1">
        <f t="shared" si="5"/>
        <v>1.9500000000000002</v>
      </c>
      <c r="I84" s="1">
        <f t="shared" si="6"/>
        <v>0.04166666666666667</v>
      </c>
    </row>
    <row r="85" spans="2:9" ht="12.75">
      <c r="B85" s="1">
        <v>12</v>
      </c>
      <c r="C85" s="1">
        <f ca="1" t="shared" si="3"/>
        <v>2.0999999999999996</v>
      </c>
      <c r="F85" s="5">
        <f t="shared" si="4"/>
        <v>0.1794871794871795</v>
      </c>
      <c r="G85" s="1">
        <f t="shared" si="5"/>
        <v>2.0999999999999996</v>
      </c>
      <c r="I85" s="1">
        <f t="shared" si="6"/>
        <v>0.04487179487179487</v>
      </c>
    </row>
    <row r="86" spans="2:9" ht="12.75">
      <c r="B86" s="1">
        <v>13</v>
      </c>
      <c r="C86" s="1">
        <f ca="1" t="shared" si="3"/>
        <v>2.25</v>
      </c>
      <c r="F86" s="5">
        <f t="shared" si="4"/>
        <v>0.19230769230769232</v>
      </c>
      <c r="G86" s="1">
        <f t="shared" si="5"/>
        <v>2.25</v>
      </c>
      <c r="I86" s="1">
        <f t="shared" si="6"/>
        <v>0.04807692307692308</v>
      </c>
    </row>
    <row r="87" spans="2:9" ht="12.75">
      <c r="B87" s="1">
        <v>14</v>
      </c>
      <c r="C87" s="1">
        <f aca="true" ca="1" t="shared" si="7" ref="C87:C133">HLOOKUP($C$5,$F$5:$O$133,CELL("row",C87)-4,FALSE)</f>
        <v>2.4000000000000004</v>
      </c>
      <c r="F87" s="5">
        <f t="shared" si="4"/>
        <v>0.20512820512820515</v>
      </c>
      <c r="G87" s="1">
        <f t="shared" si="5"/>
        <v>2.4000000000000004</v>
      </c>
      <c r="I87" s="1">
        <f t="shared" si="6"/>
        <v>0.05128205128205129</v>
      </c>
    </row>
    <row r="88" spans="2:9" ht="12.75">
      <c r="B88" s="1">
        <v>15</v>
      </c>
      <c r="C88" s="1">
        <f ca="1" t="shared" si="7"/>
        <v>2.55</v>
      </c>
      <c r="F88" s="5">
        <f t="shared" si="4"/>
        <v>0.21794871794871795</v>
      </c>
      <c r="G88" s="1">
        <f t="shared" si="5"/>
        <v>2.55</v>
      </c>
      <c r="I88" s="1">
        <f t="shared" si="6"/>
        <v>0.05448717948717949</v>
      </c>
    </row>
    <row r="89" spans="2:9" ht="12.75">
      <c r="B89" s="1">
        <v>16</v>
      </c>
      <c r="C89" s="1">
        <f ca="1" t="shared" si="7"/>
        <v>2.7</v>
      </c>
      <c r="F89" s="5">
        <f t="shared" si="4"/>
        <v>0.23076923076923078</v>
      </c>
      <c r="G89" s="1">
        <f t="shared" si="5"/>
        <v>2.7</v>
      </c>
      <c r="I89" s="1">
        <f t="shared" si="6"/>
        <v>0.057692307692307696</v>
      </c>
    </row>
    <row r="90" spans="2:9" ht="12.75">
      <c r="B90" s="1">
        <v>17</v>
      </c>
      <c r="C90" s="1">
        <f ca="1" t="shared" si="7"/>
        <v>2.625</v>
      </c>
      <c r="F90" s="5">
        <f t="shared" si="4"/>
        <v>0.22435897435897437</v>
      </c>
      <c r="G90" s="1">
        <f t="shared" si="5"/>
        <v>2.625</v>
      </c>
      <c r="I90" s="1">
        <f t="shared" si="6"/>
        <v>0.05608974358974359</v>
      </c>
    </row>
    <row r="91" spans="2:9" ht="12.75">
      <c r="B91" s="1">
        <v>18</v>
      </c>
      <c r="C91" s="1">
        <f ca="1" t="shared" si="7"/>
        <v>2.55</v>
      </c>
      <c r="F91" s="5">
        <f t="shared" si="4"/>
        <v>0.21794871794871795</v>
      </c>
      <c r="G91" s="1">
        <f t="shared" si="5"/>
        <v>2.55</v>
      </c>
      <c r="I91" s="1">
        <f t="shared" si="6"/>
        <v>0.05448717948717949</v>
      </c>
    </row>
    <row r="92" spans="2:9" ht="12.75">
      <c r="B92" s="1">
        <v>19</v>
      </c>
      <c r="C92" s="1">
        <f ca="1" t="shared" si="7"/>
        <v>2.4749999999999996</v>
      </c>
      <c r="F92" s="5">
        <f t="shared" si="4"/>
        <v>0.21153846153846154</v>
      </c>
      <c r="G92" s="1">
        <f t="shared" si="5"/>
        <v>2.4749999999999996</v>
      </c>
      <c r="I92" s="1">
        <f t="shared" si="6"/>
        <v>0.052884615384615384</v>
      </c>
    </row>
    <row r="93" spans="2:9" ht="12.75">
      <c r="B93" s="1">
        <v>20</v>
      </c>
      <c r="C93" s="1">
        <f ca="1" t="shared" si="7"/>
        <v>2.4000000000000004</v>
      </c>
      <c r="F93" s="5">
        <f t="shared" si="4"/>
        <v>0.20512820512820515</v>
      </c>
      <c r="G93" s="1">
        <f t="shared" si="5"/>
        <v>2.4000000000000004</v>
      </c>
      <c r="I93" s="1">
        <f t="shared" si="6"/>
        <v>0.05128205128205129</v>
      </c>
    </row>
    <row r="94" spans="2:9" ht="12.75">
      <c r="B94" s="1">
        <v>21</v>
      </c>
      <c r="C94" s="1">
        <f ca="1" t="shared" si="7"/>
        <v>2.325</v>
      </c>
      <c r="F94" s="5">
        <f t="shared" si="4"/>
        <v>0.19871794871794873</v>
      </c>
      <c r="G94" s="1">
        <f t="shared" si="5"/>
        <v>2.325</v>
      </c>
      <c r="I94" s="1">
        <f t="shared" si="6"/>
        <v>0.04967948717948718</v>
      </c>
    </row>
    <row r="95" spans="2:9" ht="12.75">
      <c r="B95" s="1">
        <v>22</v>
      </c>
      <c r="C95" s="1">
        <f ca="1" t="shared" si="7"/>
        <v>2.25</v>
      </c>
      <c r="F95" s="5">
        <f t="shared" si="4"/>
        <v>0.19230769230769232</v>
      </c>
      <c r="G95" s="1">
        <f t="shared" si="5"/>
        <v>2.25</v>
      </c>
      <c r="I95" s="1">
        <f t="shared" si="6"/>
        <v>0.04807692307692308</v>
      </c>
    </row>
    <row r="96" spans="2:9" ht="12.75">
      <c r="B96" s="1">
        <v>23</v>
      </c>
      <c r="C96" s="1">
        <f ca="1" t="shared" si="7"/>
        <v>2.175</v>
      </c>
      <c r="F96" s="5">
        <f t="shared" si="4"/>
        <v>0.1858974358974359</v>
      </c>
      <c r="G96" s="1">
        <f t="shared" si="5"/>
        <v>2.175</v>
      </c>
      <c r="I96" s="1">
        <f t="shared" si="6"/>
        <v>0.046474358974358976</v>
      </c>
    </row>
    <row r="97" spans="2:9" ht="12.75">
      <c r="B97" s="1">
        <v>24</v>
      </c>
      <c r="C97" s="1">
        <f ca="1" t="shared" si="7"/>
        <v>2.0999999999999996</v>
      </c>
      <c r="F97" s="5">
        <f t="shared" si="4"/>
        <v>0.1794871794871795</v>
      </c>
      <c r="G97" s="1">
        <f t="shared" si="5"/>
        <v>2.0999999999999996</v>
      </c>
      <c r="I97" s="1">
        <f t="shared" si="6"/>
        <v>0.04487179487179487</v>
      </c>
    </row>
    <row r="98" spans="2:9" ht="12.75">
      <c r="B98" s="1">
        <v>25</v>
      </c>
      <c r="C98" s="1">
        <f ca="1" t="shared" si="7"/>
        <v>2.0250000000000004</v>
      </c>
      <c r="F98" s="5">
        <f t="shared" si="4"/>
        <v>0.1730769230769231</v>
      </c>
      <c r="G98" s="1">
        <f t="shared" si="5"/>
        <v>2.0250000000000004</v>
      </c>
      <c r="I98" s="1">
        <f t="shared" si="6"/>
        <v>0.043269230769230775</v>
      </c>
    </row>
    <row r="99" spans="2:9" ht="12.75">
      <c r="B99" s="1">
        <v>26</v>
      </c>
      <c r="C99" s="1">
        <f ca="1" t="shared" si="7"/>
        <v>1.9500000000000002</v>
      </c>
      <c r="F99" s="5">
        <f t="shared" si="4"/>
        <v>0.16666666666666669</v>
      </c>
      <c r="G99" s="1">
        <f t="shared" si="5"/>
        <v>1.9500000000000002</v>
      </c>
      <c r="I99" s="1">
        <f t="shared" si="6"/>
        <v>0.04166666666666667</v>
      </c>
    </row>
    <row r="100" spans="2:9" ht="12.75">
      <c r="B100" s="1">
        <v>27</v>
      </c>
      <c r="C100" s="1">
        <f ca="1" t="shared" si="7"/>
        <v>1.875</v>
      </c>
      <c r="F100" s="5">
        <f t="shared" si="4"/>
        <v>0.16025641025641027</v>
      </c>
      <c r="G100" s="1">
        <f t="shared" si="5"/>
        <v>1.875</v>
      </c>
      <c r="I100" s="1">
        <f t="shared" si="6"/>
        <v>0.04006410256410257</v>
      </c>
    </row>
    <row r="101" spans="2:9" ht="12.75">
      <c r="B101" s="1">
        <v>28</v>
      </c>
      <c r="C101" s="1">
        <f ca="1" t="shared" si="7"/>
        <v>1.7999999999999998</v>
      </c>
      <c r="F101" s="5">
        <f t="shared" si="4"/>
        <v>0.15384615384615385</v>
      </c>
      <c r="G101" s="1">
        <f t="shared" si="5"/>
        <v>1.7999999999999998</v>
      </c>
      <c r="I101" s="1">
        <f t="shared" si="6"/>
        <v>0.038461538461538464</v>
      </c>
    </row>
    <row r="102" spans="2:9" ht="12.75">
      <c r="B102" s="1">
        <v>29</v>
      </c>
      <c r="C102" s="1">
        <f ca="1" t="shared" si="7"/>
        <v>1.7249999999999999</v>
      </c>
      <c r="F102" s="5">
        <f t="shared" si="4"/>
        <v>0.14743589743589744</v>
      </c>
      <c r="G102" s="1">
        <f t="shared" si="5"/>
        <v>1.7249999999999999</v>
      </c>
      <c r="I102" s="1">
        <f t="shared" si="6"/>
        <v>0.03685897435897436</v>
      </c>
    </row>
    <row r="103" spans="2:9" ht="12.75">
      <c r="B103" s="1">
        <v>30</v>
      </c>
      <c r="C103" s="1">
        <f ca="1" t="shared" si="7"/>
        <v>1.6500000000000001</v>
      </c>
      <c r="F103" s="5">
        <f t="shared" si="4"/>
        <v>0.14102564102564105</v>
      </c>
      <c r="G103" s="1">
        <f t="shared" si="5"/>
        <v>1.6500000000000001</v>
      </c>
      <c r="I103" s="1">
        <f t="shared" si="6"/>
        <v>0.03525641025641026</v>
      </c>
    </row>
    <row r="104" spans="2:9" ht="12.75">
      <c r="B104" s="1">
        <v>31</v>
      </c>
      <c r="C104" s="1">
        <f ca="1" t="shared" si="7"/>
        <v>1.5750000000000002</v>
      </c>
      <c r="F104" s="5">
        <f t="shared" si="4"/>
        <v>0.13461538461538464</v>
      </c>
      <c r="G104" s="1">
        <f t="shared" si="5"/>
        <v>1.5750000000000002</v>
      </c>
      <c r="I104" s="1">
        <f t="shared" si="6"/>
        <v>0.03365384615384616</v>
      </c>
    </row>
    <row r="105" spans="2:9" ht="12.75">
      <c r="B105" s="1">
        <v>32</v>
      </c>
      <c r="C105" s="1">
        <f ca="1" t="shared" si="7"/>
        <v>1.4999999999999984</v>
      </c>
      <c r="F105" s="5">
        <f t="shared" si="4"/>
        <v>0.12820512820512808</v>
      </c>
      <c r="G105" s="1">
        <f t="shared" si="5"/>
        <v>1.4999999999999984</v>
      </c>
      <c r="I105" s="1">
        <f t="shared" si="6"/>
        <v>0.03205128205128202</v>
      </c>
    </row>
    <row r="106" spans="2:9" ht="12.75">
      <c r="B106" s="1">
        <v>33</v>
      </c>
      <c r="C106" s="1">
        <f ca="1" t="shared" si="7"/>
        <v>1.4249999999999985</v>
      </c>
      <c r="F106" s="5">
        <f t="shared" si="4"/>
        <v>0.12179487179487167</v>
      </c>
      <c r="G106" s="1">
        <f t="shared" si="5"/>
        <v>1.4249999999999985</v>
      </c>
      <c r="I106" s="1">
        <f t="shared" si="6"/>
        <v>0.030448717948717917</v>
      </c>
    </row>
    <row r="107" spans="2:9" ht="12.75">
      <c r="B107" s="1">
        <v>34</v>
      </c>
      <c r="C107" s="1">
        <f ca="1" t="shared" si="7"/>
        <v>1.3499999999999985</v>
      </c>
      <c r="F107" s="5">
        <f t="shared" si="4"/>
        <v>0.11538461538461527</v>
      </c>
      <c r="G107" s="1">
        <f t="shared" si="5"/>
        <v>1.3499999999999985</v>
      </c>
      <c r="I107" s="1">
        <f t="shared" si="6"/>
        <v>0.028846153846153817</v>
      </c>
    </row>
    <row r="108" spans="2:9" ht="12.75">
      <c r="B108" s="1">
        <v>35</v>
      </c>
      <c r="C108" s="1">
        <f ca="1" t="shared" si="7"/>
        <v>1.2749999999999986</v>
      </c>
      <c r="F108" s="5">
        <f t="shared" si="4"/>
        <v>0.10897435897435885</v>
      </c>
      <c r="G108" s="1">
        <f t="shared" si="5"/>
        <v>1.2749999999999986</v>
      </c>
      <c r="I108" s="1">
        <f t="shared" si="6"/>
        <v>0.027243589743589713</v>
      </c>
    </row>
    <row r="109" spans="2:9" ht="12.75">
      <c r="B109" s="1">
        <v>36</v>
      </c>
      <c r="C109" s="1">
        <f ca="1" t="shared" si="7"/>
        <v>1.2000000000000002</v>
      </c>
      <c r="F109" s="5">
        <f t="shared" si="4"/>
        <v>0.10256410256410257</v>
      </c>
      <c r="G109" s="1">
        <f t="shared" si="5"/>
        <v>1.2000000000000002</v>
      </c>
      <c r="I109" s="1">
        <f t="shared" si="6"/>
        <v>0.025641025641025644</v>
      </c>
    </row>
    <row r="110" spans="2:9" ht="12.75">
      <c r="B110" s="1">
        <v>37</v>
      </c>
      <c r="C110" s="1">
        <f ca="1" t="shared" si="7"/>
        <v>1.125</v>
      </c>
      <c r="F110" s="5">
        <f t="shared" si="4"/>
        <v>0.09615384615384616</v>
      </c>
      <c r="G110" s="1">
        <f t="shared" si="5"/>
        <v>1.125</v>
      </c>
      <c r="I110" s="1">
        <f t="shared" si="6"/>
        <v>0.02403846153846154</v>
      </c>
    </row>
    <row r="111" spans="2:9" ht="12.75">
      <c r="B111" s="1">
        <v>38</v>
      </c>
      <c r="C111" s="1">
        <f ca="1" t="shared" si="7"/>
        <v>1.0499999999999998</v>
      </c>
      <c r="F111" s="5">
        <f t="shared" si="4"/>
        <v>0.08974358974358974</v>
      </c>
      <c r="G111" s="1">
        <f t="shared" si="5"/>
        <v>1.0499999999999998</v>
      </c>
      <c r="I111" s="1">
        <f t="shared" si="6"/>
        <v>0.022435897435897436</v>
      </c>
    </row>
    <row r="112" spans="2:9" ht="12.75">
      <c r="B112" s="1">
        <v>39</v>
      </c>
      <c r="C112" s="1">
        <f ca="1" t="shared" si="7"/>
        <v>0.9750000000000001</v>
      </c>
      <c r="F112" s="5">
        <f t="shared" si="4"/>
        <v>0.08333333333333334</v>
      </c>
      <c r="G112" s="1">
        <f t="shared" si="5"/>
        <v>0.9750000000000001</v>
      </c>
      <c r="I112" s="1">
        <f t="shared" si="6"/>
        <v>0.020833333333333336</v>
      </c>
    </row>
    <row r="113" spans="2:9" ht="12.75">
      <c r="B113" s="1">
        <v>40</v>
      </c>
      <c r="C113" s="1">
        <f ca="1" t="shared" si="7"/>
        <v>0.8999999999999999</v>
      </c>
      <c r="F113" s="5">
        <f t="shared" si="4"/>
        <v>0.07692307692307693</v>
      </c>
      <c r="G113" s="1">
        <f t="shared" si="5"/>
        <v>0.8999999999999999</v>
      </c>
      <c r="I113" s="1">
        <f t="shared" si="6"/>
        <v>0.019230769230769232</v>
      </c>
    </row>
    <row r="114" spans="2:9" ht="12.75">
      <c r="B114" s="1">
        <v>41</v>
      </c>
      <c r="C114" s="1">
        <f ca="1" t="shared" si="7"/>
        <v>0.8250000000000001</v>
      </c>
      <c r="F114" s="5">
        <f t="shared" si="4"/>
        <v>0.07051282051282053</v>
      </c>
      <c r="G114" s="1">
        <f t="shared" si="5"/>
        <v>0.8250000000000001</v>
      </c>
      <c r="I114" s="1">
        <f t="shared" si="6"/>
        <v>0.01762820512820513</v>
      </c>
    </row>
    <row r="115" spans="2:9" ht="12.75">
      <c r="B115" s="1">
        <v>42</v>
      </c>
      <c r="C115" s="1">
        <f ca="1" t="shared" si="7"/>
        <v>0.75</v>
      </c>
      <c r="F115" s="5">
        <f t="shared" si="4"/>
        <v>0.06410256410256411</v>
      </c>
      <c r="G115" s="1">
        <f t="shared" si="5"/>
        <v>0.75</v>
      </c>
      <c r="I115" s="1">
        <f t="shared" si="6"/>
        <v>0.016025641025641028</v>
      </c>
    </row>
    <row r="116" spans="2:9" ht="12.75">
      <c r="B116" s="1">
        <v>43</v>
      </c>
      <c r="C116" s="1">
        <f ca="1" t="shared" si="7"/>
        <v>0.675</v>
      </c>
      <c r="F116" s="5">
        <f t="shared" si="4"/>
        <v>0.057692307692307696</v>
      </c>
      <c r="G116" s="1">
        <f t="shared" si="5"/>
        <v>0.675</v>
      </c>
      <c r="I116" s="1">
        <f t="shared" si="6"/>
        <v>0.014423076923076924</v>
      </c>
    </row>
    <row r="117" spans="2:9" ht="12.75">
      <c r="B117" s="1">
        <v>44</v>
      </c>
      <c r="C117" s="1">
        <f ca="1" t="shared" si="7"/>
        <v>0.6000000000000001</v>
      </c>
      <c r="F117" s="5">
        <f t="shared" si="4"/>
        <v>0.05128205128205129</v>
      </c>
      <c r="G117" s="1">
        <f t="shared" si="5"/>
        <v>0.6000000000000001</v>
      </c>
      <c r="I117" s="1">
        <f t="shared" si="6"/>
        <v>0.012820512820512822</v>
      </c>
    </row>
    <row r="118" spans="2:9" ht="12.75">
      <c r="B118" s="1">
        <v>45</v>
      </c>
      <c r="C118" s="1">
        <f ca="1" t="shared" si="7"/>
        <v>0.5249999999999999</v>
      </c>
      <c r="F118" s="5">
        <f t="shared" si="4"/>
        <v>0.04487179487179487</v>
      </c>
      <c r="G118" s="1">
        <f t="shared" si="5"/>
        <v>0.5249999999999999</v>
      </c>
      <c r="I118" s="1">
        <f t="shared" si="6"/>
        <v>0.011217948717948718</v>
      </c>
    </row>
    <row r="119" spans="2:9" ht="12.75">
      <c r="B119" s="1">
        <v>46</v>
      </c>
      <c r="C119" s="1">
        <f ca="1" t="shared" si="7"/>
        <v>0.44999999999999996</v>
      </c>
      <c r="F119" s="5">
        <f t="shared" si="4"/>
        <v>0.038461538461538464</v>
      </c>
      <c r="G119" s="1">
        <f t="shared" si="5"/>
        <v>0.44999999999999996</v>
      </c>
      <c r="I119" s="1">
        <f t="shared" si="6"/>
        <v>0.009615384615384616</v>
      </c>
    </row>
    <row r="120" spans="2:9" ht="12.75">
      <c r="B120" s="1">
        <v>47</v>
      </c>
      <c r="C120" s="1">
        <f ca="1" t="shared" si="7"/>
        <v>0.375</v>
      </c>
      <c r="F120" s="5">
        <f t="shared" si="4"/>
        <v>0.032051282051282055</v>
      </c>
      <c r="G120" s="1">
        <f t="shared" si="5"/>
        <v>0.375</v>
      </c>
      <c r="I120" s="1">
        <f t="shared" si="6"/>
        <v>0.008012820512820514</v>
      </c>
    </row>
    <row r="121" spans="2:9" ht="12.75">
      <c r="B121" s="1">
        <v>48</v>
      </c>
      <c r="C121" s="1">
        <f ca="1" t="shared" si="7"/>
        <v>0.30000000000000004</v>
      </c>
      <c r="F121" s="5">
        <f t="shared" si="4"/>
        <v>0.025641025641025644</v>
      </c>
      <c r="G121" s="1">
        <f t="shared" si="5"/>
        <v>0.30000000000000004</v>
      </c>
      <c r="I121" s="1">
        <f t="shared" si="6"/>
        <v>0.006410256410256411</v>
      </c>
    </row>
    <row r="122" spans="2:9" ht="12.75">
      <c r="B122" s="1">
        <v>49</v>
      </c>
      <c r="C122" s="1">
        <f ca="1" t="shared" si="7"/>
        <v>0.22499999999999998</v>
      </c>
      <c r="F122" s="5">
        <f t="shared" si="4"/>
        <v>0.019230769230769232</v>
      </c>
      <c r="G122" s="1">
        <f t="shared" si="5"/>
        <v>0.22499999999999998</v>
      </c>
      <c r="I122" s="1">
        <f t="shared" si="6"/>
        <v>0.004807692307692308</v>
      </c>
    </row>
    <row r="123" spans="2:9" ht="12.75">
      <c r="B123" s="1">
        <v>50</v>
      </c>
      <c r="C123" s="1">
        <f ca="1" t="shared" si="7"/>
        <v>0.15000000000000002</v>
      </c>
      <c r="F123" s="5">
        <f t="shared" si="4"/>
        <v>0.012820512820512822</v>
      </c>
      <c r="G123" s="1">
        <f t="shared" si="5"/>
        <v>0.15000000000000002</v>
      </c>
      <c r="I123" s="1">
        <f t="shared" si="6"/>
        <v>0.0032051282051282055</v>
      </c>
    </row>
    <row r="124" spans="2:9" ht="12.75">
      <c r="B124" s="1">
        <v>51</v>
      </c>
      <c r="C124" s="1">
        <f ca="1" t="shared" si="7"/>
        <v>0.07500000000000001</v>
      </c>
      <c r="F124" s="5">
        <f t="shared" si="4"/>
        <v>0.006410256410256411</v>
      </c>
      <c r="G124" s="1">
        <f t="shared" si="5"/>
        <v>0.07500000000000001</v>
      </c>
      <c r="I124" s="1">
        <f t="shared" si="6"/>
        <v>0.0016025641025641027</v>
      </c>
    </row>
    <row r="125" spans="2:9" ht="12.75">
      <c r="B125" s="1">
        <v>52</v>
      </c>
      <c r="C125" s="1">
        <f ca="1" t="shared" si="7"/>
        <v>0</v>
      </c>
      <c r="F125" s="5">
        <f t="shared" si="4"/>
        <v>0</v>
      </c>
      <c r="G125" s="1">
        <f t="shared" si="5"/>
        <v>0</v>
      </c>
      <c r="I125" s="1">
        <f t="shared" si="6"/>
        <v>0</v>
      </c>
    </row>
    <row r="126" spans="2:9" ht="12.75">
      <c r="B126" s="1">
        <v>53</v>
      </c>
      <c r="C126" s="1">
        <f ca="1" t="shared" si="7"/>
        <v>-0.07500000000000001</v>
      </c>
      <c r="F126" s="5">
        <f t="shared" si="4"/>
        <v>-0.006410256410256411</v>
      </c>
      <c r="G126" s="1">
        <f t="shared" si="5"/>
        <v>-0.07500000000000001</v>
      </c>
      <c r="I126" s="1">
        <f t="shared" si="6"/>
        <v>-0.0016025641025641027</v>
      </c>
    </row>
    <row r="127" spans="2:9" ht="12.75">
      <c r="B127" s="1">
        <v>54</v>
      </c>
      <c r="C127" s="1">
        <f ca="1" t="shared" si="7"/>
        <v>-0.15000000000000002</v>
      </c>
      <c r="F127" s="5">
        <f t="shared" si="4"/>
        <v>-0.012820512820512822</v>
      </c>
      <c r="G127" s="1">
        <f t="shared" si="5"/>
        <v>-0.15000000000000002</v>
      </c>
      <c r="I127" s="1">
        <f t="shared" si="6"/>
        <v>-0.0032051282051282055</v>
      </c>
    </row>
    <row r="128" spans="2:9" ht="12.75">
      <c r="B128" s="1">
        <v>55</v>
      </c>
      <c r="C128" s="1">
        <f ca="1" t="shared" si="7"/>
        <v>-0.22499999999999998</v>
      </c>
      <c r="F128" s="5">
        <f t="shared" si="4"/>
        <v>-0.019230769230769232</v>
      </c>
      <c r="G128" s="1">
        <f t="shared" si="5"/>
        <v>-0.22499999999999998</v>
      </c>
      <c r="I128" s="1">
        <f t="shared" si="6"/>
        <v>-0.004807692307692308</v>
      </c>
    </row>
    <row r="129" spans="2:9" ht="12.75">
      <c r="B129" s="1">
        <v>56</v>
      </c>
      <c r="C129" s="1">
        <f ca="1" t="shared" si="7"/>
        <v>-0.30000000000000004</v>
      </c>
      <c r="F129" s="5">
        <f t="shared" si="4"/>
        <v>-0.025641025641025644</v>
      </c>
      <c r="G129" s="1">
        <f t="shared" si="5"/>
        <v>-0.30000000000000004</v>
      </c>
      <c r="I129" s="1">
        <f t="shared" si="6"/>
        <v>-0.006410256410256411</v>
      </c>
    </row>
    <row r="130" spans="2:9" ht="12.75">
      <c r="B130" s="1">
        <v>57</v>
      </c>
      <c r="C130" s="1">
        <f ca="1" t="shared" si="7"/>
        <v>-0.375</v>
      </c>
      <c r="F130" s="5">
        <f t="shared" si="4"/>
        <v>-0.032051282051282055</v>
      </c>
      <c r="G130" s="1">
        <f t="shared" si="5"/>
        <v>-0.375</v>
      </c>
      <c r="I130" s="1">
        <f t="shared" si="6"/>
        <v>-0.008012820512820514</v>
      </c>
    </row>
    <row r="131" spans="2:9" ht="12.75">
      <c r="B131" s="1">
        <v>58</v>
      </c>
      <c r="C131" s="1">
        <f ca="1" t="shared" si="7"/>
        <v>-0.44999999999999996</v>
      </c>
      <c r="F131" s="5">
        <f t="shared" si="4"/>
        <v>-0.038461538461538464</v>
      </c>
      <c r="G131" s="1">
        <f t="shared" si="5"/>
        <v>-0.44999999999999996</v>
      </c>
      <c r="I131" s="1">
        <f t="shared" si="6"/>
        <v>-0.009615384615384616</v>
      </c>
    </row>
    <row r="132" spans="2:9" ht="12.75">
      <c r="B132" s="1">
        <v>59</v>
      </c>
      <c r="C132" s="1">
        <f ca="1" t="shared" si="7"/>
        <v>-0.5249999999999999</v>
      </c>
      <c r="F132" s="5">
        <f t="shared" si="4"/>
        <v>-0.04487179487179487</v>
      </c>
      <c r="G132" s="1">
        <f t="shared" si="5"/>
        <v>-0.5249999999999999</v>
      </c>
      <c r="I132" s="1">
        <f t="shared" si="6"/>
        <v>-0.011217948717948718</v>
      </c>
    </row>
    <row r="133" spans="2:9" ht="12.75">
      <c r="B133" s="1">
        <v>60</v>
      </c>
      <c r="C133" s="1">
        <f ca="1" t="shared" si="7"/>
        <v>-0.6000000000000001</v>
      </c>
      <c r="F133" s="5">
        <f t="shared" si="4"/>
        <v>-0.05128205128205129</v>
      </c>
      <c r="G133" s="1">
        <f t="shared" si="5"/>
        <v>-0.6000000000000001</v>
      </c>
      <c r="I133" s="1">
        <f t="shared" si="6"/>
        <v>-0.012820512820512822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C3">
      <pane ySplit="1275" topLeftCell="BM5" activePane="bottomLeft" state="split"/>
      <selection pane="topLeft" activeCell="I5" sqref="I5"/>
      <selection pane="bottomLeft" activeCell="C49" sqref="C49"/>
    </sheetView>
  </sheetViews>
  <sheetFormatPr defaultColWidth="9.140625" defaultRowHeight="12.75"/>
  <cols>
    <col min="1" max="1" width="23.28125" style="0" bestFit="1" customWidth="1"/>
    <col min="2" max="2" width="9.57421875" style="1" bestFit="1" customWidth="1"/>
    <col min="5" max="5" width="14.140625" style="0" bestFit="1" customWidth="1"/>
    <col min="6" max="6" width="13.57421875" style="0" bestFit="1" customWidth="1"/>
    <col min="7" max="7" width="14.140625" style="0" bestFit="1" customWidth="1"/>
    <col min="8" max="8" width="10.28125" style="0" customWidth="1"/>
    <col min="9" max="9" width="9.00390625" style="0" customWidth="1"/>
    <col min="10" max="10" width="9.00390625" style="0" bestFit="1" customWidth="1"/>
    <col min="11" max="11" width="6.7109375" style="0" customWidth="1"/>
    <col min="12" max="13" width="6.140625" style="0" customWidth="1"/>
    <col min="14" max="14" width="12.28125" style="0" bestFit="1" customWidth="1"/>
    <col min="16" max="16" width="12.28125" style="0" bestFit="1" customWidth="1"/>
  </cols>
  <sheetData>
    <row r="1" spans="6:7" ht="12.75">
      <c r="F1" s="1"/>
      <c r="G1" s="1"/>
    </row>
    <row r="2" ht="12.75">
      <c r="F2" s="1"/>
    </row>
    <row r="3" spans="5:14" ht="12.75">
      <c r="E3" s="15"/>
      <c r="F3" s="16"/>
      <c r="G3" s="17" t="s">
        <v>135</v>
      </c>
      <c r="H3" s="18"/>
      <c r="I3" s="18"/>
      <c r="J3" s="18"/>
      <c r="K3" s="18"/>
      <c r="L3" s="16"/>
      <c r="M3" s="18"/>
      <c r="N3" s="19"/>
    </row>
    <row r="4" spans="1:14" ht="12.75">
      <c r="A4" t="s">
        <v>52</v>
      </c>
      <c r="B4" s="8">
        <f>MAX(Sheet1!J16:J34)</f>
        <v>5833.630944789018</v>
      </c>
      <c r="C4" t="s">
        <v>22</v>
      </c>
      <c r="E4" s="20"/>
      <c r="F4" s="21"/>
      <c r="G4" s="21"/>
      <c r="H4" s="22" t="s">
        <v>100</v>
      </c>
      <c r="I4" s="23">
        <v>1</v>
      </c>
      <c r="J4" s="24"/>
      <c r="K4" s="25" t="s">
        <v>139</v>
      </c>
      <c r="L4" s="21">
        <f>I6/I7</f>
        <v>5</v>
      </c>
      <c r="M4" s="24"/>
      <c r="N4" s="26"/>
    </row>
    <row r="5" spans="5:14" ht="12.75">
      <c r="E5" s="20"/>
      <c r="F5" s="21"/>
      <c r="G5" s="24"/>
      <c r="H5" s="22" t="s">
        <v>101</v>
      </c>
      <c r="I5" s="23">
        <v>0.05</v>
      </c>
      <c r="J5" s="24"/>
      <c r="K5" s="21" t="s">
        <v>174</v>
      </c>
      <c r="L5" s="21">
        <f>I7*I6</f>
        <v>3.2</v>
      </c>
      <c r="M5" s="24" t="s">
        <v>4</v>
      </c>
      <c r="N5" s="26"/>
    </row>
    <row r="6" spans="5:14" ht="12.75">
      <c r="E6" s="20"/>
      <c r="F6" s="21"/>
      <c r="G6" s="21"/>
      <c r="H6" s="24" t="s">
        <v>70</v>
      </c>
      <c r="I6" s="23">
        <v>4</v>
      </c>
      <c r="J6" s="24" t="s">
        <v>3</v>
      </c>
      <c r="K6" s="24"/>
      <c r="L6" s="21"/>
      <c r="M6" s="24"/>
      <c r="N6" s="26"/>
    </row>
    <row r="7" spans="5:14" ht="12.75">
      <c r="E7" s="20"/>
      <c r="F7" s="21"/>
      <c r="G7" s="24"/>
      <c r="H7" s="24" t="s">
        <v>137</v>
      </c>
      <c r="I7" s="23">
        <v>0.8</v>
      </c>
      <c r="J7" s="24" t="s">
        <v>3</v>
      </c>
      <c r="K7" s="24"/>
      <c r="L7" s="24"/>
      <c r="M7" s="24"/>
      <c r="N7" s="26"/>
    </row>
    <row r="8" spans="5:14" ht="12.75">
      <c r="E8" s="20"/>
      <c r="F8" s="21"/>
      <c r="G8" s="24"/>
      <c r="H8" s="29" t="s">
        <v>168</v>
      </c>
      <c r="I8" s="23">
        <f>I7/10</f>
        <v>0.08</v>
      </c>
      <c r="J8" s="24" t="s">
        <v>3</v>
      </c>
      <c r="K8" s="24"/>
      <c r="L8" s="24"/>
      <c r="M8" s="24"/>
      <c r="N8" s="26"/>
    </row>
    <row r="9" spans="5:14" ht="12.75">
      <c r="E9" s="20"/>
      <c r="F9" s="21"/>
      <c r="G9" s="24"/>
      <c r="H9" s="24"/>
      <c r="I9" s="24"/>
      <c r="J9" s="24"/>
      <c r="K9" s="24"/>
      <c r="L9" s="24"/>
      <c r="M9" s="24"/>
      <c r="N9" s="26"/>
    </row>
    <row r="10" spans="1:14" ht="12.75">
      <c r="A10" t="s">
        <v>53</v>
      </c>
      <c r="B10" s="2">
        <v>500</v>
      </c>
      <c r="C10" t="s">
        <v>54</v>
      </c>
      <c r="E10" s="20"/>
      <c r="F10" s="27"/>
      <c r="G10" s="28" t="s">
        <v>136</v>
      </c>
      <c r="H10" s="24"/>
      <c r="I10" s="29"/>
      <c r="J10" s="29"/>
      <c r="K10" s="27"/>
      <c r="L10" s="29"/>
      <c r="M10" s="29"/>
      <c r="N10" s="30"/>
    </row>
    <row r="11" spans="1:14" ht="12.75">
      <c r="A11" t="s">
        <v>62</v>
      </c>
      <c r="B11" s="2">
        <v>2</v>
      </c>
      <c r="E11" s="20"/>
      <c r="F11" s="29"/>
      <c r="G11" s="29"/>
      <c r="H11" s="29"/>
      <c r="I11" s="29"/>
      <c r="J11" s="29"/>
      <c r="K11" s="29"/>
      <c r="L11" s="29"/>
      <c r="M11" s="29"/>
      <c r="N11" s="30"/>
    </row>
    <row r="12" spans="1:14" ht="12.75">
      <c r="A12" t="s">
        <v>56</v>
      </c>
      <c r="B12" s="2">
        <v>1</v>
      </c>
      <c r="E12" s="20"/>
      <c r="F12" s="29"/>
      <c r="G12" s="29" t="s">
        <v>102</v>
      </c>
      <c r="H12" s="27">
        <v>90</v>
      </c>
      <c r="I12" s="27">
        <v>60</v>
      </c>
      <c r="J12" s="27">
        <v>45</v>
      </c>
      <c r="K12" s="27">
        <v>30</v>
      </c>
      <c r="L12" s="27">
        <v>15</v>
      </c>
      <c r="M12" s="27">
        <v>5</v>
      </c>
      <c r="N12" s="30"/>
    </row>
    <row r="13" spans="1:14" ht="12.75">
      <c r="A13" t="s">
        <v>57</v>
      </c>
      <c r="B13" s="2">
        <v>3</v>
      </c>
      <c r="E13" s="20"/>
      <c r="F13" s="24"/>
      <c r="G13" s="27" t="s">
        <v>99</v>
      </c>
      <c r="H13" s="29"/>
      <c r="I13" s="29"/>
      <c r="J13" s="29"/>
      <c r="K13" s="29"/>
      <c r="L13" s="29"/>
      <c r="M13" s="29"/>
      <c r="N13" s="30"/>
    </row>
    <row r="14" spans="1:14" ht="12.75">
      <c r="A14" t="s">
        <v>61</v>
      </c>
      <c r="B14" s="2">
        <v>30</v>
      </c>
      <c r="C14" t="s">
        <v>3</v>
      </c>
      <c r="E14" s="20"/>
      <c r="F14" s="24"/>
      <c r="G14" s="27">
        <v>5</v>
      </c>
      <c r="H14" s="31">
        <f>2*9800/(1.1*(G14/2)^2*($I$4+$I$5))</f>
        <v>2715.151515151515</v>
      </c>
      <c r="I14" s="31">
        <f aca="true" t="shared" si="0" ref="I14:M18">$H14/SIN(I$12*PI()/180)</f>
        <v>3135.186916326695</v>
      </c>
      <c r="J14" s="31">
        <f t="shared" si="0"/>
        <v>3839.804096625131</v>
      </c>
      <c r="K14" s="31">
        <f t="shared" si="0"/>
        <v>5430.303030303031</v>
      </c>
      <c r="L14" s="31">
        <f t="shared" si="0"/>
        <v>10490.539883090973</v>
      </c>
      <c r="M14" s="31">
        <f t="shared" si="0"/>
        <v>31152.869903394516</v>
      </c>
      <c r="N14" s="30"/>
    </row>
    <row r="15" spans="1:14" ht="12.75">
      <c r="A15" t="s">
        <v>64</v>
      </c>
      <c r="B15" s="2">
        <v>210000</v>
      </c>
      <c r="C15" t="s">
        <v>54</v>
      </c>
      <c r="E15" s="20"/>
      <c r="F15" s="24"/>
      <c r="G15" s="27">
        <v>10</v>
      </c>
      <c r="H15" s="31">
        <f>2*9800/(1.1*(G15/2)^2*($I$4+$I$5))</f>
        <v>678.7878787878788</v>
      </c>
      <c r="I15" s="31">
        <f t="shared" si="0"/>
        <v>783.7967290816738</v>
      </c>
      <c r="J15" s="31">
        <f t="shared" si="0"/>
        <v>959.9510241562828</v>
      </c>
      <c r="K15" s="31">
        <f t="shared" si="0"/>
        <v>1357.5757575757577</v>
      </c>
      <c r="L15" s="31">
        <f t="shared" si="0"/>
        <v>2622.634970772743</v>
      </c>
      <c r="M15" s="31">
        <f t="shared" si="0"/>
        <v>7788.217475848629</v>
      </c>
      <c r="N15" s="30"/>
    </row>
    <row r="16" spans="5:14" ht="12.75">
      <c r="E16" s="20"/>
      <c r="F16" s="24"/>
      <c r="G16" s="27">
        <v>20</v>
      </c>
      <c r="H16" s="31">
        <f>2*9800/(1.1*(G16/2)^2*($I$4+$I$5))</f>
        <v>169.6969696969697</v>
      </c>
      <c r="I16" s="31">
        <f t="shared" si="0"/>
        <v>195.94918227041845</v>
      </c>
      <c r="J16" s="31">
        <f t="shared" si="0"/>
        <v>239.9877560390707</v>
      </c>
      <c r="K16" s="31">
        <f t="shared" si="0"/>
        <v>339.39393939393943</v>
      </c>
      <c r="L16" s="31">
        <f t="shared" si="0"/>
        <v>655.6587426931858</v>
      </c>
      <c r="M16" s="31">
        <f t="shared" si="0"/>
        <v>1947.0543689621572</v>
      </c>
      <c r="N16" s="30"/>
    </row>
    <row r="17" spans="5:14" ht="12.75">
      <c r="E17" s="20"/>
      <c r="F17" s="24"/>
      <c r="G17" s="27">
        <v>30</v>
      </c>
      <c r="H17" s="31">
        <f>2*9800/(1.1*(G17/2)^2*($I$4+$I$5))</f>
        <v>75.4208754208754</v>
      </c>
      <c r="I17" s="31">
        <f t="shared" si="0"/>
        <v>87.0885254535193</v>
      </c>
      <c r="J17" s="31">
        <f t="shared" si="0"/>
        <v>106.66122490625362</v>
      </c>
      <c r="K17" s="31">
        <f t="shared" si="0"/>
        <v>150.84175084175084</v>
      </c>
      <c r="L17" s="31">
        <f t="shared" si="0"/>
        <v>291.40388564141585</v>
      </c>
      <c r="M17" s="31">
        <f t="shared" si="0"/>
        <v>865.3574973165142</v>
      </c>
      <c r="N17" s="30"/>
    </row>
    <row r="18" spans="5:14" ht="12.75">
      <c r="E18" s="20"/>
      <c r="F18" s="24"/>
      <c r="G18" s="27">
        <v>40</v>
      </c>
      <c r="H18" s="31">
        <f>2*9800/(1.1*(G18/2)^2*($I$4+$I$5))</f>
        <v>42.42424242424242</v>
      </c>
      <c r="I18" s="31">
        <f t="shared" si="0"/>
        <v>48.98729556760461</v>
      </c>
      <c r="J18" s="31">
        <f t="shared" si="0"/>
        <v>59.99693900976767</v>
      </c>
      <c r="K18" s="31">
        <f t="shared" si="0"/>
        <v>84.84848484848486</v>
      </c>
      <c r="L18" s="31">
        <f t="shared" si="0"/>
        <v>163.91468567329645</v>
      </c>
      <c r="M18" s="31">
        <f t="shared" si="0"/>
        <v>486.7635922405393</v>
      </c>
      <c r="N18" s="30"/>
    </row>
    <row r="19" spans="5:14" ht="12.75">
      <c r="E19" s="20"/>
      <c r="F19" s="27"/>
      <c r="G19" s="27"/>
      <c r="H19" s="32"/>
      <c r="I19" s="29"/>
      <c r="J19" s="29"/>
      <c r="K19" s="29"/>
      <c r="L19" s="29"/>
      <c r="M19" s="29"/>
      <c r="N19" s="30"/>
    </row>
    <row r="20" spans="5:14" ht="12.75">
      <c r="E20" s="20"/>
      <c r="F20" s="24"/>
      <c r="G20" s="24"/>
      <c r="H20" s="24"/>
      <c r="I20" s="24"/>
      <c r="J20" s="24"/>
      <c r="K20" s="24"/>
      <c r="L20" s="24"/>
      <c r="M20" s="24"/>
      <c r="N20" s="26"/>
    </row>
    <row r="21" spans="5:14" ht="12.75">
      <c r="E21" s="20"/>
      <c r="F21" s="24"/>
      <c r="G21" s="33" t="s">
        <v>133</v>
      </c>
      <c r="H21" s="24"/>
      <c r="I21" s="24"/>
      <c r="J21" s="24" t="s">
        <v>134</v>
      </c>
      <c r="K21" s="27">
        <f>I7*I6</f>
        <v>3.2</v>
      </c>
      <c r="L21" s="24" t="s">
        <v>4</v>
      </c>
      <c r="M21" s="24"/>
      <c r="N21" s="26"/>
    </row>
    <row r="22" spans="5:14" ht="12.75">
      <c r="E22" s="20"/>
      <c r="F22" s="24"/>
      <c r="G22" s="24"/>
      <c r="H22" s="34"/>
      <c r="I22" s="24"/>
      <c r="J22" s="24"/>
      <c r="K22" s="24"/>
      <c r="L22" s="24"/>
      <c r="M22" s="24"/>
      <c r="N22" s="26"/>
    </row>
    <row r="23" spans="1:14" ht="12.75">
      <c r="A23" t="s">
        <v>55</v>
      </c>
      <c r="B23" s="3">
        <f>B4*B13/B12/B10</f>
        <v>35.001785668734115</v>
      </c>
      <c r="C23" t="s">
        <v>58</v>
      </c>
      <c r="E23" s="20"/>
      <c r="F23" s="24"/>
      <c r="G23" s="29" t="s">
        <v>102</v>
      </c>
      <c r="H23" s="27">
        <v>90</v>
      </c>
      <c r="I23" s="27">
        <v>60</v>
      </c>
      <c r="J23" s="27">
        <v>45</v>
      </c>
      <c r="K23" s="27">
        <v>30</v>
      </c>
      <c r="L23" s="27">
        <v>15</v>
      </c>
      <c r="M23" s="27">
        <v>5</v>
      </c>
      <c r="N23" s="26"/>
    </row>
    <row r="24" spans="1:14" ht="12.75">
      <c r="A24" t="s">
        <v>59</v>
      </c>
      <c r="B24" s="3">
        <f>SQRT(4*B23/PI())</f>
        <v>6.675751467046745</v>
      </c>
      <c r="C24" t="s">
        <v>60</v>
      </c>
      <c r="E24" s="20"/>
      <c r="F24" s="24"/>
      <c r="G24" s="27" t="s">
        <v>99</v>
      </c>
      <c r="H24" s="34"/>
      <c r="I24" s="24"/>
      <c r="J24" s="24"/>
      <c r="K24" s="24"/>
      <c r="L24" s="24"/>
      <c r="M24" s="24"/>
      <c r="N24" s="26"/>
    </row>
    <row r="25" spans="1:14" ht="12.75">
      <c r="A25" t="s">
        <v>63</v>
      </c>
      <c r="B25" s="7">
        <f>B11*B14*B24*0.001</f>
        <v>0.4005450880228047</v>
      </c>
      <c r="C25" t="s">
        <v>4</v>
      </c>
      <c r="E25" s="20"/>
      <c r="F25" s="24"/>
      <c r="G25" s="27">
        <v>5</v>
      </c>
      <c r="H25" s="35">
        <f aca="true" t="shared" si="1" ref="H25:M25">(0.5*1.1*($G25/2)^2*$K$21*(SQRT($I$4^2+$I$5^2)))*SIN(H$23*PI()/180)</f>
        <v>11.013741416975435</v>
      </c>
      <c r="I25" s="35">
        <f t="shared" si="1"/>
        <v>9.538179857813546</v>
      </c>
      <c r="J25" s="35">
        <f t="shared" si="1"/>
        <v>7.787891242178464</v>
      </c>
      <c r="K25" s="35">
        <f t="shared" si="1"/>
        <v>5.506870708487717</v>
      </c>
      <c r="L25" s="35">
        <f t="shared" si="1"/>
        <v>2.850566036547666</v>
      </c>
      <c r="M25" s="35">
        <f t="shared" si="1"/>
        <v>0.9599108136271391</v>
      </c>
      <c r="N25" s="26"/>
    </row>
    <row r="26" spans="1:14" ht="12.75">
      <c r="A26" t="s">
        <v>65</v>
      </c>
      <c r="B26" s="7">
        <f>B4/B12/B15*B14</f>
        <v>0.8333758492555741</v>
      </c>
      <c r="C26" t="s">
        <v>3</v>
      </c>
      <c r="E26" s="20"/>
      <c r="F26" s="24"/>
      <c r="G26" s="27">
        <v>10</v>
      </c>
      <c r="H26" s="35">
        <f aca="true" t="shared" si="2" ref="H26:M29">(0.5*1.1*($G26/2)^2*$K$21*(SQRT($I$4^2+$I$5^2)))*SIN(H$23*PI()/180)</f>
        <v>44.05496566790174</v>
      </c>
      <c r="I26" s="35">
        <f t="shared" si="2"/>
        <v>38.152719431254184</v>
      </c>
      <c r="J26" s="35">
        <f t="shared" si="2"/>
        <v>31.151564968713856</v>
      </c>
      <c r="K26" s="35">
        <f t="shared" si="2"/>
        <v>22.027482833950867</v>
      </c>
      <c r="L26" s="35">
        <f t="shared" si="2"/>
        <v>11.402264146190664</v>
      </c>
      <c r="M26" s="35">
        <f t="shared" si="2"/>
        <v>3.8396432545085566</v>
      </c>
      <c r="N26" s="26"/>
    </row>
    <row r="27" spans="5:14" ht="12.75">
      <c r="E27" s="20"/>
      <c r="F27" s="24"/>
      <c r="G27" s="27">
        <v>20</v>
      </c>
      <c r="H27" s="35">
        <f t="shared" si="2"/>
        <v>176.21986267160696</v>
      </c>
      <c r="I27" s="35">
        <f t="shared" si="2"/>
        <v>152.61087772501673</v>
      </c>
      <c r="J27" s="35">
        <f t="shared" si="2"/>
        <v>124.60625987485543</v>
      </c>
      <c r="K27" s="35">
        <f t="shared" si="2"/>
        <v>88.10993133580347</v>
      </c>
      <c r="L27" s="35">
        <f t="shared" si="2"/>
        <v>45.609056584762655</v>
      </c>
      <c r="M27" s="35">
        <f t="shared" si="2"/>
        <v>15.358573018034226</v>
      </c>
      <c r="N27" s="26"/>
    </row>
    <row r="28" spans="5:14" ht="12.75">
      <c r="E28" s="20"/>
      <c r="F28" s="24"/>
      <c r="G28" s="27">
        <v>30</v>
      </c>
      <c r="H28" s="35">
        <f t="shared" si="2"/>
        <v>396.4946910111156</v>
      </c>
      <c r="I28" s="35">
        <f t="shared" si="2"/>
        <v>343.3744748812876</v>
      </c>
      <c r="J28" s="35">
        <f t="shared" si="2"/>
        <v>280.3640847184247</v>
      </c>
      <c r="K28" s="35">
        <f t="shared" si="2"/>
        <v>198.24734550555777</v>
      </c>
      <c r="L28" s="35">
        <f t="shared" si="2"/>
        <v>102.62037731571596</v>
      </c>
      <c r="M28" s="35">
        <f t="shared" si="2"/>
        <v>34.556789290577</v>
      </c>
      <c r="N28" s="26"/>
    </row>
    <row r="29" spans="5:14" ht="12.75">
      <c r="E29" s="20"/>
      <c r="F29" s="24"/>
      <c r="G29" s="27">
        <v>40</v>
      </c>
      <c r="H29" s="35">
        <f t="shared" si="2"/>
        <v>704.8794506864278</v>
      </c>
      <c r="I29" s="35">
        <f t="shared" si="2"/>
        <v>610.4435109000669</v>
      </c>
      <c r="J29" s="35">
        <f t="shared" si="2"/>
        <v>498.4250394994217</v>
      </c>
      <c r="K29" s="35">
        <f t="shared" si="2"/>
        <v>352.43972534321387</v>
      </c>
      <c r="L29" s="35">
        <f t="shared" si="2"/>
        <v>182.43622633905062</v>
      </c>
      <c r="M29" s="35">
        <f t="shared" si="2"/>
        <v>61.434292072136905</v>
      </c>
      <c r="N29" s="26"/>
    </row>
    <row r="30" spans="5:14" ht="12.75">
      <c r="E30" s="20"/>
      <c r="F30" s="24"/>
      <c r="G30" s="24"/>
      <c r="H30" s="24"/>
      <c r="I30" s="24"/>
      <c r="J30" s="24"/>
      <c r="K30" s="24"/>
      <c r="L30" s="24"/>
      <c r="M30" s="24"/>
      <c r="N30" s="26"/>
    </row>
    <row r="31" spans="5:14" ht="12.75">
      <c r="E31" s="20"/>
      <c r="F31" s="24"/>
      <c r="G31" s="24"/>
      <c r="H31" s="24"/>
      <c r="I31" s="24"/>
      <c r="J31" s="24"/>
      <c r="K31" s="24"/>
      <c r="L31" s="24"/>
      <c r="M31" s="24"/>
      <c r="N31" s="26"/>
    </row>
    <row r="32" spans="5:14" ht="12.75">
      <c r="E32" s="20"/>
      <c r="F32" s="24"/>
      <c r="G32" s="33" t="s">
        <v>138</v>
      </c>
      <c r="H32" s="24"/>
      <c r="I32" s="24"/>
      <c r="J32" s="24"/>
      <c r="K32" s="24"/>
      <c r="L32" s="24"/>
      <c r="M32" s="24"/>
      <c r="N32" s="26"/>
    </row>
    <row r="33" spans="1:14" ht="12.75">
      <c r="A33" t="s">
        <v>149</v>
      </c>
      <c r="G33" s="20" t="s">
        <v>148</v>
      </c>
      <c r="H33" s="24" t="s">
        <v>147</v>
      </c>
      <c r="I33" s="27" t="s">
        <v>99</v>
      </c>
      <c r="J33" s="24"/>
      <c r="K33" s="24"/>
      <c r="L33" s="24"/>
      <c r="M33" s="24"/>
      <c r="N33" s="26"/>
    </row>
    <row r="34" spans="7:14" ht="12.75">
      <c r="G34" s="20">
        <f>I34/2</f>
        <v>2.5</v>
      </c>
      <c r="H34" s="24">
        <f>I34*1.8</f>
        <v>9</v>
      </c>
      <c r="I34" s="27">
        <v>5</v>
      </c>
      <c r="J34" s="36">
        <f aca="true" t="shared" si="3" ref="J34:J41">1.1*G34*$I$7/0.0000182</f>
        <v>120879.12087912089</v>
      </c>
      <c r="K34" s="24"/>
      <c r="L34" s="24"/>
      <c r="M34" s="24"/>
      <c r="N34" s="26"/>
    </row>
    <row r="35" spans="7:14" ht="12.75">
      <c r="G35" s="20">
        <f aca="true" t="shared" si="4" ref="G35:G41">I35/2</f>
        <v>5</v>
      </c>
      <c r="H35" s="24">
        <f>I35*1.8</f>
        <v>18</v>
      </c>
      <c r="I35" s="27">
        <v>10</v>
      </c>
      <c r="J35" s="36">
        <f t="shared" si="3"/>
        <v>241758.24175824178</v>
      </c>
      <c r="K35" s="24"/>
      <c r="L35" s="24"/>
      <c r="M35" s="24"/>
      <c r="N35" s="26"/>
    </row>
    <row r="36" spans="7:14" ht="12.75">
      <c r="G36" s="20">
        <f t="shared" si="4"/>
        <v>10</v>
      </c>
      <c r="H36" s="24">
        <f aca="true" t="shared" si="5" ref="H36:H41">I36*1.8</f>
        <v>36</v>
      </c>
      <c r="I36" s="27">
        <v>20</v>
      </c>
      <c r="J36" s="36">
        <f t="shared" si="3"/>
        <v>483516.48351648357</v>
      </c>
      <c r="K36" s="24"/>
      <c r="L36" s="24"/>
      <c r="M36" s="24"/>
      <c r="N36" s="26"/>
    </row>
    <row r="37" spans="7:14" ht="12.75">
      <c r="G37" s="20">
        <f t="shared" si="4"/>
        <v>15</v>
      </c>
      <c r="H37" s="24">
        <f t="shared" si="5"/>
        <v>54</v>
      </c>
      <c r="I37" s="27">
        <v>30</v>
      </c>
      <c r="J37" s="36">
        <f t="shared" si="3"/>
        <v>725274.7252747254</v>
      </c>
      <c r="K37" s="24"/>
      <c r="L37" s="24"/>
      <c r="M37" s="24"/>
      <c r="N37" s="26"/>
    </row>
    <row r="38" spans="7:14" ht="12.75">
      <c r="G38" s="20">
        <f t="shared" si="4"/>
        <v>20</v>
      </c>
      <c r="H38" s="24">
        <f t="shared" si="5"/>
        <v>72</v>
      </c>
      <c r="I38" s="27">
        <v>40</v>
      </c>
      <c r="J38" s="36">
        <f t="shared" si="3"/>
        <v>967032.9670329671</v>
      </c>
      <c r="K38" s="24"/>
      <c r="L38" s="24"/>
      <c r="M38" s="24"/>
      <c r="N38" s="26"/>
    </row>
    <row r="39" spans="7:14" ht="12.75">
      <c r="G39" s="20">
        <f t="shared" si="4"/>
        <v>25</v>
      </c>
      <c r="H39" s="24">
        <f t="shared" si="5"/>
        <v>90</v>
      </c>
      <c r="I39" s="27">
        <v>50</v>
      </c>
      <c r="J39" s="36">
        <f t="shared" si="3"/>
        <v>1208791.2087912092</v>
      </c>
      <c r="K39" s="24"/>
      <c r="L39" s="24"/>
      <c r="M39" s="24"/>
      <c r="N39" s="26"/>
    </row>
    <row r="40" spans="7:14" ht="12.75">
      <c r="G40" s="20">
        <f t="shared" si="4"/>
        <v>30</v>
      </c>
      <c r="H40" s="24">
        <f t="shared" si="5"/>
        <v>108</v>
      </c>
      <c r="I40" s="27">
        <v>60</v>
      </c>
      <c r="J40" s="36">
        <f t="shared" si="3"/>
        <v>1450549.4505494507</v>
      </c>
      <c r="K40" s="24"/>
      <c r="L40" s="24"/>
      <c r="M40" s="24"/>
      <c r="N40" s="26"/>
    </row>
    <row r="41" spans="7:14" ht="12.75">
      <c r="G41" s="20">
        <f t="shared" si="4"/>
        <v>35</v>
      </c>
      <c r="H41" s="24">
        <f t="shared" si="5"/>
        <v>126</v>
      </c>
      <c r="I41" s="27">
        <v>70</v>
      </c>
      <c r="J41" s="36">
        <f t="shared" si="3"/>
        <v>1692307.6923076925</v>
      </c>
      <c r="K41" s="24"/>
      <c r="L41" s="24"/>
      <c r="M41" s="24"/>
      <c r="N41" s="26"/>
    </row>
    <row r="42" spans="5:14" ht="12.75">
      <c r="E42" s="37"/>
      <c r="F42" s="38"/>
      <c r="G42" s="38"/>
      <c r="H42" s="38"/>
      <c r="I42" s="38"/>
      <c r="J42" s="38"/>
      <c r="K42" s="38"/>
      <c r="L42" s="38"/>
      <c r="M42" s="38"/>
      <c r="N42" s="39"/>
    </row>
    <row r="43" ht="12.75">
      <c r="G43" s="14" t="s">
        <v>150</v>
      </c>
    </row>
    <row r="44" spans="7:9" ht="12.75">
      <c r="G44" t="s">
        <v>1</v>
      </c>
      <c r="H44">
        <f>I7*I6</f>
        <v>3.2</v>
      </c>
      <c r="I44" t="s">
        <v>4</v>
      </c>
    </row>
    <row r="45" spans="7:16" ht="12.75">
      <c r="G45" t="s">
        <v>153</v>
      </c>
      <c r="H45">
        <f>H44*0.1</f>
        <v>0.32000000000000006</v>
      </c>
      <c r="I45" t="s">
        <v>154</v>
      </c>
      <c r="N45" s="1"/>
      <c r="O45" s="1"/>
      <c r="P45" s="1"/>
    </row>
    <row r="46" spans="14:16" ht="12.75">
      <c r="N46" s="1" t="s">
        <v>169</v>
      </c>
      <c r="O46" s="1"/>
      <c r="P46" s="1"/>
    </row>
    <row r="47" spans="7:15" ht="12.75">
      <c r="G47" s="14" t="s">
        <v>161</v>
      </c>
      <c r="N47" s="1" t="s">
        <v>172</v>
      </c>
      <c r="O47" s="1">
        <v>40.1</v>
      </c>
    </row>
    <row r="48" spans="7:15" ht="12.75">
      <c r="G48" s="13" t="s">
        <v>151</v>
      </c>
      <c r="H48">
        <f>$H$44*2*I48</f>
        <v>1280</v>
      </c>
      <c r="I48" s="41">
        <v>200</v>
      </c>
      <c r="J48" t="s">
        <v>155</v>
      </c>
      <c r="K48" s="41">
        <v>105</v>
      </c>
      <c r="L48" t="s">
        <v>156</v>
      </c>
      <c r="N48" s="1" t="s">
        <v>170</v>
      </c>
      <c r="O48" s="1">
        <v>130</v>
      </c>
    </row>
    <row r="49" spans="7:15" ht="12.75">
      <c r="G49">
        <v>2</v>
      </c>
      <c r="H49">
        <f>$H$44*2*I49</f>
        <v>563.2</v>
      </c>
      <c r="I49" s="41">
        <v>88</v>
      </c>
      <c r="J49" t="s">
        <v>155</v>
      </c>
      <c r="K49" s="41">
        <v>49</v>
      </c>
      <c r="L49" t="s">
        <v>157</v>
      </c>
      <c r="N49" s="1" t="s">
        <v>171</v>
      </c>
      <c r="O49" s="1">
        <v>50</v>
      </c>
    </row>
    <row r="50" spans="7:14" ht="12.75">
      <c r="G50" t="s">
        <v>152</v>
      </c>
      <c r="H50">
        <f>H45*I50*1000</f>
        <v>9280.000000000002</v>
      </c>
      <c r="I50" s="41">
        <v>29</v>
      </c>
      <c r="J50" t="s">
        <v>163</v>
      </c>
      <c r="K50" t="s">
        <v>159</v>
      </c>
      <c r="N50" s="1" t="s">
        <v>173</v>
      </c>
    </row>
    <row r="51" spans="7:8" ht="12.75">
      <c r="G51" t="s">
        <v>160</v>
      </c>
      <c r="H51" s="41">
        <v>500</v>
      </c>
    </row>
    <row r="52" spans="8:15" ht="12.75">
      <c r="H52">
        <f>SUM(H48:H51)/1000</f>
        <v>11.623200000000002</v>
      </c>
      <c r="I52" t="s">
        <v>82</v>
      </c>
      <c r="J52" s="40">
        <f>H52/($I$6*$I$7)</f>
        <v>3.6322500000000004</v>
      </c>
      <c r="K52" t="s">
        <v>158</v>
      </c>
      <c r="N52" s="1"/>
      <c r="O52" s="1"/>
    </row>
    <row r="53" spans="10:15" ht="12.75">
      <c r="J53" s="40"/>
      <c r="O53" s="1">
        <f>SUM(O47:O49)</f>
        <v>220.1</v>
      </c>
    </row>
    <row r="54" ht="12.75">
      <c r="J54" s="40"/>
    </row>
    <row r="56" ht="12.75">
      <c r="G56" s="14" t="s">
        <v>162</v>
      </c>
    </row>
    <row r="57" spans="7:12" ht="12.75">
      <c r="G57" s="13" t="s">
        <v>164</v>
      </c>
      <c r="H57">
        <f>$H$44*2*I57</f>
        <v>902.4000000000001</v>
      </c>
      <c r="I57">
        <v>141</v>
      </c>
      <c r="J57" t="s">
        <v>155</v>
      </c>
      <c r="K57">
        <v>93</v>
      </c>
      <c r="L57" t="s">
        <v>156</v>
      </c>
    </row>
    <row r="58" spans="7:12" ht="12.75">
      <c r="G58">
        <v>2</v>
      </c>
      <c r="H58">
        <f>$H$44*2*I58</f>
        <v>422.40000000000003</v>
      </c>
      <c r="I58">
        <v>66</v>
      </c>
      <c r="J58" t="s">
        <v>155</v>
      </c>
      <c r="K58">
        <v>49</v>
      </c>
      <c r="L58" t="s">
        <v>157</v>
      </c>
    </row>
    <row r="59" spans="7:12" ht="12.75">
      <c r="G59" t="s">
        <v>165</v>
      </c>
      <c r="H59">
        <f>H44*2*K59*I59</f>
        <v>928</v>
      </c>
      <c r="I59">
        <v>29</v>
      </c>
      <c r="J59" t="s">
        <v>163</v>
      </c>
      <c r="K59">
        <v>5</v>
      </c>
      <c r="L59" t="s">
        <v>167</v>
      </c>
    </row>
    <row r="60" spans="7:8" ht="12.75">
      <c r="G60" t="s">
        <v>166</v>
      </c>
      <c r="H60">
        <f>H58</f>
        <v>422.40000000000003</v>
      </c>
    </row>
    <row r="61" spans="7:8" ht="12.75">
      <c r="G61" t="s">
        <v>160</v>
      </c>
      <c r="H61">
        <v>500</v>
      </c>
    </row>
    <row r="62" spans="8:11" ht="12.75">
      <c r="H62">
        <f>SUM(H57:H61)/1000</f>
        <v>3.1752000000000002</v>
      </c>
      <c r="I62" t="s">
        <v>82</v>
      </c>
      <c r="J62" s="40">
        <f>H62/($I$6*$I$7)</f>
        <v>0.9922500000000001</v>
      </c>
      <c r="K62" t="s">
        <v>158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9"/>
  <sheetViews>
    <sheetView tabSelected="1" workbookViewId="0" topLeftCell="A6">
      <pane xSplit="3720" ySplit="1530" topLeftCell="H8" activePane="bottomRight" state="split"/>
      <selection pane="topLeft" activeCell="A22" sqref="A22"/>
      <selection pane="topRight" activeCell="H8" sqref="H8"/>
      <selection pane="bottomLeft" activeCell="B26" sqref="B26"/>
      <selection pane="bottomRight" activeCell="L26" sqref="L26"/>
    </sheetView>
  </sheetViews>
  <sheetFormatPr defaultColWidth="9.140625" defaultRowHeight="12.75"/>
  <cols>
    <col min="1" max="1" width="14.00390625" style="0" customWidth="1"/>
    <col min="2" max="2" width="17.7109375" style="0" bestFit="1" customWidth="1"/>
    <col min="3" max="4" width="8.57421875" style="0" bestFit="1" customWidth="1"/>
    <col min="5" max="5" width="6.140625" style="0" bestFit="1" customWidth="1"/>
    <col min="6" max="6" width="8.28125" style="0" bestFit="1" customWidth="1"/>
    <col min="7" max="8" width="12.57421875" style="0" customWidth="1"/>
    <col min="9" max="12" width="11.00390625" style="0" customWidth="1"/>
    <col min="13" max="13" width="12.8515625" style="1" customWidth="1"/>
    <col min="14" max="15" width="12.8515625" style="0" customWidth="1"/>
    <col min="16" max="16" width="9.57421875" style="0" bestFit="1" customWidth="1"/>
    <col min="17" max="17" width="15.28125" style="0" customWidth="1"/>
    <col min="18" max="18" width="11.57421875" style="0" bestFit="1" customWidth="1"/>
    <col min="19" max="19" width="7.8515625" style="0" customWidth="1"/>
    <col min="20" max="20" width="14.8515625" style="0" bestFit="1" customWidth="1"/>
    <col min="21" max="21" width="8.7109375" style="0" customWidth="1"/>
  </cols>
  <sheetData>
    <row r="1" spans="12:17" ht="12.75">
      <c r="L1" t="s">
        <v>124</v>
      </c>
      <c r="M1">
        <v>0.3048433048433048</v>
      </c>
      <c r="N1" t="s">
        <v>3</v>
      </c>
      <c r="O1" t="s">
        <v>126</v>
      </c>
      <c r="P1">
        <f>M1*M1</f>
        <v>0.09292944050778806</v>
      </c>
      <c r="Q1" t="s">
        <v>4</v>
      </c>
    </row>
    <row r="2" spans="12:14" ht="12.75">
      <c r="L2" t="s">
        <v>125</v>
      </c>
      <c r="M2" s="1">
        <v>0.45359</v>
      </c>
      <c r="N2" t="s">
        <v>82</v>
      </c>
    </row>
    <row r="3" spans="6:14" ht="51">
      <c r="F3" t="s">
        <v>70</v>
      </c>
      <c r="G3" t="s">
        <v>73</v>
      </c>
      <c r="H3" t="s">
        <v>71</v>
      </c>
      <c r="I3" s="9" t="s">
        <v>68</v>
      </c>
      <c r="J3" s="9"/>
      <c r="K3" s="9"/>
      <c r="L3" s="9"/>
      <c r="M3" s="11"/>
      <c r="N3" s="9" t="s">
        <v>66</v>
      </c>
    </row>
    <row r="4" spans="9:14" ht="51">
      <c r="I4" s="9" t="s">
        <v>72</v>
      </c>
      <c r="J4" s="9"/>
      <c r="K4" s="9"/>
      <c r="L4" s="9"/>
      <c r="M4" s="11"/>
      <c r="N4" s="9" t="s">
        <v>67</v>
      </c>
    </row>
    <row r="5" ht="12.75">
      <c r="N5" t="s">
        <v>69</v>
      </c>
    </row>
    <row r="6" ht="12.75"/>
    <row r="7" spans="1:23" s="10" customFormat="1" ht="76.5">
      <c r="A7" s="10" t="s">
        <v>74</v>
      </c>
      <c r="B7" s="10" t="s">
        <v>75</v>
      </c>
      <c r="C7" s="10" t="s">
        <v>76</v>
      </c>
      <c r="D7" s="10" t="s">
        <v>77</v>
      </c>
      <c r="E7" s="10" t="s">
        <v>81</v>
      </c>
      <c r="F7" s="10" t="s">
        <v>78</v>
      </c>
      <c r="G7" s="10" t="s">
        <v>79</v>
      </c>
      <c r="H7" s="10" t="s">
        <v>80</v>
      </c>
      <c r="I7" s="10" t="s">
        <v>83</v>
      </c>
      <c r="J7" s="10" t="s">
        <v>91</v>
      </c>
      <c r="K7" s="10" t="s">
        <v>92</v>
      </c>
      <c r="M7" s="10" t="s">
        <v>88</v>
      </c>
      <c r="N7" s="10" t="s">
        <v>96</v>
      </c>
      <c r="O7" s="10" t="s">
        <v>85</v>
      </c>
      <c r="P7" s="10" t="s">
        <v>84</v>
      </c>
      <c r="Q7" s="10" t="s">
        <v>107</v>
      </c>
      <c r="R7" s="10" t="s">
        <v>116</v>
      </c>
      <c r="S7" s="10" t="s">
        <v>118</v>
      </c>
      <c r="T7" s="10" t="s">
        <v>117</v>
      </c>
      <c r="U7" s="10" t="s">
        <v>119</v>
      </c>
      <c r="V7" s="10" t="s">
        <v>121</v>
      </c>
      <c r="W7" s="10" t="s">
        <v>120</v>
      </c>
    </row>
    <row r="8" spans="3:20" s="1" customFormat="1" ht="12.75">
      <c r="C8" s="1" t="s">
        <v>3</v>
      </c>
      <c r="D8" s="1" t="s">
        <v>3</v>
      </c>
      <c r="E8" s="1" t="s">
        <v>3</v>
      </c>
      <c r="F8" s="1" t="s">
        <v>3</v>
      </c>
      <c r="G8" s="1" t="s">
        <v>82</v>
      </c>
      <c r="H8" s="1" t="s">
        <v>82</v>
      </c>
      <c r="J8" s="1" t="s">
        <v>4</v>
      </c>
      <c r="K8" s="1" t="s">
        <v>4</v>
      </c>
      <c r="R8" s="1" t="s">
        <v>23</v>
      </c>
      <c r="T8" s="1" t="s">
        <v>36</v>
      </c>
    </row>
    <row r="9" spans="1:21" s="1" customFormat="1" ht="12.75">
      <c r="A9" s="1" t="s">
        <v>86</v>
      </c>
      <c r="B9" s="1" t="s">
        <v>87</v>
      </c>
      <c r="C9" s="1">
        <f>45*0.308</f>
        <v>13.86</v>
      </c>
      <c r="D9" s="1">
        <v>13.86</v>
      </c>
      <c r="M9" s="1">
        <v>164</v>
      </c>
      <c r="N9" s="1" t="e">
        <f aca="true" t="shared" si="0" ref="N9:N26">C9/E9</f>
        <v>#DIV/0!</v>
      </c>
      <c r="R9" s="1">
        <v>200</v>
      </c>
      <c r="S9" s="7">
        <f>(R9/24)/SQRT($D9/$M$1)</f>
        <v>1.2358776244847807</v>
      </c>
      <c r="T9" s="1">
        <v>10.8</v>
      </c>
      <c r="U9" s="7">
        <f>T9/SQRT($D9/$M$1)</f>
        <v>1.6016974013322758</v>
      </c>
    </row>
    <row r="10" spans="1:16" s="1" customFormat="1" ht="12.75">
      <c r="A10" s="1" t="s">
        <v>89</v>
      </c>
      <c r="B10" s="1" t="s">
        <v>90</v>
      </c>
      <c r="C10" s="1">
        <v>10.7</v>
      </c>
      <c r="D10" s="1">
        <v>9.43</v>
      </c>
      <c r="E10" s="1">
        <v>3.25</v>
      </c>
      <c r="G10" s="1">
        <v>3000</v>
      </c>
      <c r="I10" s="1">
        <v>1500</v>
      </c>
      <c r="J10" s="1">
        <v>72</v>
      </c>
      <c r="M10" s="4">
        <f aca="true" t="shared" si="1" ref="M10:M26">((G10/1000)/((D10/$M$1)^3))*1000000</f>
        <v>101.34822809179072</v>
      </c>
      <c r="N10" s="3">
        <f t="shared" si="0"/>
        <v>3.292307692307692</v>
      </c>
      <c r="O10" s="1">
        <f>J10/G10*1000</f>
        <v>24</v>
      </c>
      <c r="P10" s="1">
        <f aca="true" t="shared" si="2" ref="P10:P15">I10/G10</f>
        <v>0.5</v>
      </c>
    </row>
    <row r="11" spans="1:16" s="1" customFormat="1" ht="12.75">
      <c r="A11" s="1" t="s">
        <v>93</v>
      </c>
      <c r="B11" s="1" t="s">
        <v>94</v>
      </c>
      <c r="C11" s="1">
        <v>9.12</v>
      </c>
      <c r="D11" s="1">
        <v>8.05</v>
      </c>
      <c r="E11" s="1">
        <v>1.72</v>
      </c>
      <c r="F11" s="1">
        <v>0.9</v>
      </c>
      <c r="G11" s="1">
        <v>960</v>
      </c>
      <c r="I11" s="1">
        <v>670</v>
      </c>
      <c r="J11" s="1">
        <v>27</v>
      </c>
      <c r="M11" s="4">
        <f t="shared" si="1"/>
        <v>52.133103045144665</v>
      </c>
      <c r="N11" s="3">
        <f t="shared" si="0"/>
        <v>5.3023255813953485</v>
      </c>
      <c r="O11" s="3">
        <f>J11/G11*1000</f>
        <v>28.125</v>
      </c>
      <c r="P11" s="7">
        <f t="shared" si="2"/>
        <v>0.6979166666666666</v>
      </c>
    </row>
    <row r="12" spans="1:21" s="1" customFormat="1" ht="12.75">
      <c r="A12" s="1" t="s">
        <v>95</v>
      </c>
      <c r="C12" s="1">
        <v>19.4</v>
      </c>
      <c r="D12" s="1">
        <v>17.3</v>
      </c>
      <c r="E12" s="1">
        <v>5.25</v>
      </c>
      <c r="G12" s="1">
        <v>13500</v>
      </c>
      <c r="I12" s="1">
        <v>6000</v>
      </c>
      <c r="J12" s="1">
        <v>200</v>
      </c>
      <c r="K12" s="1">
        <v>417</v>
      </c>
      <c r="M12" s="4">
        <f t="shared" si="1"/>
        <v>73.86274487038415</v>
      </c>
      <c r="N12" s="3">
        <f t="shared" si="0"/>
        <v>3.695238095238095</v>
      </c>
      <c r="O12" s="3">
        <f>J12/G12*1000</f>
        <v>14.814814814814815</v>
      </c>
      <c r="P12" s="7">
        <f t="shared" si="2"/>
        <v>0.4444444444444444</v>
      </c>
      <c r="Q12" s="12"/>
      <c r="R12" s="1">
        <v>484</v>
      </c>
      <c r="S12" s="7">
        <f>(R12/24)/SQRT($D12/$M$1)</f>
        <v>2.6770063353331195</v>
      </c>
      <c r="T12" s="1">
        <v>38.89</v>
      </c>
      <c r="U12" s="7">
        <f>T12/SQRT($D12/$M$1)</f>
        <v>5.162418663525868</v>
      </c>
    </row>
    <row r="13" spans="1:16" s="1" customFormat="1" ht="12.75">
      <c r="A13" s="1" t="s">
        <v>97</v>
      </c>
      <c r="B13" s="1" t="s">
        <v>98</v>
      </c>
      <c r="C13" s="1">
        <v>25</v>
      </c>
      <c r="D13" s="1">
        <v>22</v>
      </c>
      <c r="E13" s="1">
        <v>4</v>
      </c>
      <c r="G13" s="1">
        <v>25000</v>
      </c>
      <c r="I13" s="1">
        <v>20000</v>
      </c>
      <c r="M13" s="4">
        <f t="shared" si="1"/>
        <v>66.51229752449613</v>
      </c>
      <c r="N13" s="1">
        <f t="shared" si="0"/>
        <v>6.25</v>
      </c>
      <c r="O13" s="1">
        <v>41.6</v>
      </c>
      <c r="P13" s="7">
        <f t="shared" si="2"/>
        <v>0.8</v>
      </c>
    </row>
    <row r="14" spans="1:16" s="1" customFormat="1" ht="12.75">
      <c r="A14" s="1" t="s">
        <v>103</v>
      </c>
      <c r="B14" s="1" t="s">
        <v>104</v>
      </c>
      <c r="C14" s="1">
        <v>20.9</v>
      </c>
      <c r="D14" s="1">
        <v>20.9</v>
      </c>
      <c r="E14" s="1">
        <v>5.74</v>
      </c>
      <c r="G14" s="1">
        <v>15420</v>
      </c>
      <c r="J14" s="1">
        <v>170</v>
      </c>
      <c r="K14" s="1">
        <v>404</v>
      </c>
      <c r="M14" s="4">
        <f t="shared" si="1"/>
        <v>47.84929011588772</v>
      </c>
      <c r="N14" s="3">
        <f t="shared" si="0"/>
        <v>3.641114982578397</v>
      </c>
      <c r="O14" s="3">
        <f>J14/G14*1000</f>
        <v>11.024643320363165</v>
      </c>
      <c r="P14" s="7">
        <f t="shared" si="2"/>
        <v>0</v>
      </c>
    </row>
    <row r="15" spans="1:16" s="1" customFormat="1" ht="12.75">
      <c r="A15" s="1" t="s">
        <v>105</v>
      </c>
      <c r="B15" s="1" t="s">
        <v>106</v>
      </c>
      <c r="C15" s="1">
        <v>9.12</v>
      </c>
      <c r="D15" s="1">
        <v>8.05</v>
      </c>
      <c r="E15" s="1">
        <v>1.72</v>
      </c>
      <c r="G15" s="1">
        <v>500</v>
      </c>
      <c r="I15" s="1">
        <v>0</v>
      </c>
      <c r="J15" s="1">
        <v>50</v>
      </c>
      <c r="M15" s="3">
        <f t="shared" si="1"/>
        <v>27.15265783601285</v>
      </c>
      <c r="N15" s="3">
        <f t="shared" si="0"/>
        <v>5.3023255813953485</v>
      </c>
      <c r="O15" s="3">
        <f>J15/G15*1000</f>
        <v>100</v>
      </c>
      <c r="P15" s="7">
        <f t="shared" si="2"/>
        <v>0</v>
      </c>
    </row>
    <row r="16" spans="1:16" s="1" customFormat="1" ht="12.75">
      <c r="A16" s="1" t="s">
        <v>108</v>
      </c>
      <c r="C16" s="1">
        <v>5.76</v>
      </c>
      <c r="D16" s="1">
        <v>5.76</v>
      </c>
      <c r="G16" s="1">
        <v>330</v>
      </c>
      <c r="H16" s="1">
        <v>330</v>
      </c>
      <c r="I16" s="1">
        <v>0</v>
      </c>
      <c r="J16" s="1">
        <v>22</v>
      </c>
      <c r="K16" s="1">
        <v>22</v>
      </c>
      <c r="M16" s="3">
        <f t="shared" si="1"/>
        <v>48.91887639331697</v>
      </c>
      <c r="N16" s="3"/>
      <c r="O16" s="3">
        <f>J16/G16*1000</f>
        <v>66.66666666666667</v>
      </c>
      <c r="P16" s="7">
        <f>I16/G16</f>
        <v>0</v>
      </c>
    </row>
    <row r="17" spans="1:23" s="1" customFormat="1" ht="12.75">
      <c r="A17" s="1" t="s">
        <v>114</v>
      </c>
      <c r="B17" s="1" t="s">
        <v>115</v>
      </c>
      <c r="C17" s="1">
        <v>6.5</v>
      </c>
      <c r="D17" s="1">
        <v>6.5</v>
      </c>
      <c r="E17" s="1">
        <v>2.97</v>
      </c>
      <c r="G17" s="1">
        <v>878</v>
      </c>
      <c r="I17" s="1">
        <v>450</v>
      </c>
      <c r="J17" s="1">
        <v>47.8</v>
      </c>
      <c r="M17" s="3">
        <f t="shared" si="1"/>
        <v>90.57001290747061</v>
      </c>
      <c r="N17" s="3">
        <f t="shared" si="0"/>
        <v>2.1885521885521886</v>
      </c>
      <c r="O17" s="3">
        <f>J17/G17*1000</f>
        <v>54.44191343963553</v>
      </c>
      <c r="P17" s="7">
        <f>I17/G17</f>
        <v>0.5125284738041003</v>
      </c>
      <c r="R17" s="1">
        <v>250</v>
      </c>
      <c r="S17" s="7">
        <f>(R17/24)/SQRT($D17/$M$1)</f>
        <v>2.2558510433261976</v>
      </c>
      <c r="T17" s="1">
        <v>20</v>
      </c>
      <c r="U17" s="7">
        <f>T17/SQRT($D17/$M$1)</f>
        <v>4.3312340031862995</v>
      </c>
      <c r="V17" s="1">
        <v>5.9</v>
      </c>
      <c r="W17" s="7">
        <f>V17/SQRT($D17/$M$1)</f>
        <v>1.2777140309399584</v>
      </c>
    </row>
    <row r="18" spans="1:23" s="1" customFormat="1" ht="12.75">
      <c r="A18" s="1" t="s">
        <v>127</v>
      </c>
      <c r="B18" s="1" t="s">
        <v>128</v>
      </c>
      <c r="C18" s="3">
        <f>125*M1</f>
        <v>38.1054131054131</v>
      </c>
      <c r="D18" s="3">
        <f>117*M1</f>
        <v>35.666666666666664</v>
      </c>
      <c r="E18" s="1">
        <v>18.3</v>
      </c>
      <c r="F18" s="1">
        <v>18.3</v>
      </c>
      <c r="G18" s="4">
        <f>38460*M2</f>
        <v>17445.0714</v>
      </c>
      <c r="H18" s="1">
        <v>20000</v>
      </c>
      <c r="J18" s="1">
        <v>673</v>
      </c>
      <c r="K18" s="1">
        <v>1081</v>
      </c>
      <c r="M18" s="3">
        <f t="shared" si="1"/>
        <v>10.892188937027854</v>
      </c>
      <c r="N18" s="3">
        <f t="shared" si="0"/>
        <v>2.0822630112247595</v>
      </c>
      <c r="O18" s="3">
        <f>J18/G18*1000</f>
        <v>38.57823132784655</v>
      </c>
      <c r="P18" s="7"/>
      <c r="R18" s="1">
        <v>650</v>
      </c>
      <c r="S18" s="7">
        <f>(R18/24)/SQRT($D18/$M$1)</f>
        <v>2.5038550524055476</v>
      </c>
      <c r="U18" s="7"/>
      <c r="V18" s="1">
        <v>25.78</v>
      </c>
      <c r="W18" s="7">
        <f>V18/SQRT($D18/$M$1)</f>
        <v>2.3833618431144012</v>
      </c>
    </row>
    <row r="19" spans="1:23" s="1" customFormat="1" ht="12.75">
      <c r="A19" s="1" t="s">
        <v>129</v>
      </c>
      <c r="B19" s="1" t="s">
        <v>130</v>
      </c>
      <c r="C19" s="3">
        <f>110*M1</f>
        <v>33.532763532763525</v>
      </c>
      <c r="D19" s="3">
        <v>32</v>
      </c>
      <c r="G19" s="4">
        <v>22000</v>
      </c>
      <c r="M19" s="3">
        <f t="shared" si="1"/>
        <v>19.019659141721633</v>
      </c>
      <c r="N19" s="3"/>
      <c r="O19" s="3"/>
      <c r="P19" s="7"/>
      <c r="S19" s="7"/>
      <c r="U19" s="7"/>
      <c r="W19" s="7"/>
    </row>
    <row r="20" spans="1:23" s="1" customFormat="1" ht="12.75">
      <c r="A20" s="1" t="s">
        <v>145</v>
      </c>
      <c r="B20" s="1" t="s">
        <v>146</v>
      </c>
      <c r="C20" s="3">
        <v>10.5</v>
      </c>
      <c r="D20" s="3">
        <v>10.5</v>
      </c>
      <c r="E20" s="1">
        <v>8.5</v>
      </c>
      <c r="F20" s="1">
        <v>8.5</v>
      </c>
      <c r="G20" s="4">
        <v>2500</v>
      </c>
      <c r="H20" s="1">
        <v>3000</v>
      </c>
      <c r="I20" s="1">
        <v>0</v>
      </c>
      <c r="J20" s="1">
        <v>77</v>
      </c>
      <c r="K20" s="1">
        <v>140</v>
      </c>
      <c r="M20" s="3">
        <f t="shared" si="1"/>
        <v>61.178960720512684</v>
      </c>
      <c r="N20" s="3"/>
      <c r="O20" s="3">
        <f aca="true" t="shared" si="3" ref="O20:O29">J20/G20*1000</f>
        <v>30.8</v>
      </c>
      <c r="P20" s="7"/>
      <c r="S20" s="7"/>
      <c r="T20" s="1">
        <v>25</v>
      </c>
      <c r="U20" s="7">
        <f>T20/SQRT($D20/$M$1)</f>
        <v>4.259745862384454</v>
      </c>
      <c r="W20" s="7"/>
    </row>
    <row r="21" spans="1:23" s="1" customFormat="1" ht="12.75">
      <c r="A21" s="1" t="s">
        <v>180</v>
      </c>
      <c r="B21" s="1" t="s">
        <v>181</v>
      </c>
      <c r="C21" s="3">
        <v>12</v>
      </c>
      <c r="D21" s="3">
        <v>11.28</v>
      </c>
      <c r="G21" s="4">
        <v>2730</v>
      </c>
      <c r="J21" s="1">
        <v>87</v>
      </c>
      <c r="M21" s="3">
        <f t="shared" si="1"/>
        <v>53.8846829357048</v>
      </c>
      <c r="N21" s="3"/>
      <c r="O21" s="3">
        <f t="shared" si="3"/>
        <v>31.868131868131865</v>
      </c>
      <c r="P21" s="7"/>
      <c r="S21" s="7"/>
      <c r="U21" s="7"/>
      <c r="W21" s="7"/>
    </row>
    <row r="22" spans="1:23" s="1" customFormat="1" ht="12.75">
      <c r="A22" s="1" t="s">
        <v>175</v>
      </c>
      <c r="B22" s="1" t="s">
        <v>176</v>
      </c>
      <c r="C22" s="3">
        <v>14.15</v>
      </c>
      <c r="D22" s="3">
        <v>10.3</v>
      </c>
      <c r="E22" s="1">
        <v>2.83</v>
      </c>
      <c r="G22" s="4">
        <v>3450</v>
      </c>
      <c r="J22" s="4">
        <f>P1*684</f>
        <v>63.56373730732704</v>
      </c>
      <c r="M22" s="3">
        <f t="shared" si="1"/>
        <v>89.44115618780826</v>
      </c>
      <c r="N22" s="3">
        <f t="shared" si="0"/>
        <v>5</v>
      </c>
      <c r="O22" s="3">
        <f t="shared" si="3"/>
        <v>18.4242716832832</v>
      </c>
      <c r="P22" s="7"/>
      <c r="S22" s="7"/>
      <c r="T22" s="1">
        <v>16</v>
      </c>
      <c r="U22" s="7">
        <f>T22/SQRT($D22/$M$1)</f>
        <v>2.752578421232986</v>
      </c>
      <c r="W22" s="7"/>
    </row>
    <row r="23" spans="1:23" s="1" customFormat="1" ht="12.75">
      <c r="A23" s="1" t="s">
        <v>177</v>
      </c>
      <c r="C23" s="3">
        <v>21.9</v>
      </c>
      <c r="D23" s="3">
        <v>15.4</v>
      </c>
      <c r="E23" s="1">
        <v>4.5</v>
      </c>
      <c r="G23" s="4">
        <v>25000</v>
      </c>
      <c r="J23" s="4">
        <f>1885*P1</f>
        <v>175.1719953571805</v>
      </c>
      <c r="M23" s="3">
        <f t="shared" si="1"/>
        <v>193.91340386150478</v>
      </c>
      <c r="N23" s="3">
        <f t="shared" si="0"/>
        <v>4.866666666666666</v>
      </c>
      <c r="O23" s="3">
        <f t="shared" si="3"/>
        <v>7.0068798142872195</v>
      </c>
      <c r="P23" s="7"/>
      <c r="S23" s="7"/>
      <c r="U23" s="7"/>
      <c r="W23" s="7"/>
    </row>
    <row r="24" spans="1:23" s="1" customFormat="1" ht="12.75">
      <c r="A24" s="1" t="s">
        <v>178</v>
      </c>
      <c r="B24" s="1" t="s">
        <v>179</v>
      </c>
      <c r="C24" s="3">
        <v>12.1</v>
      </c>
      <c r="D24" s="3">
        <v>10.5</v>
      </c>
      <c r="E24" s="1">
        <v>3.57</v>
      </c>
      <c r="G24" s="4">
        <v>5800</v>
      </c>
      <c r="H24" s="4">
        <f>G24</f>
        <v>5800</v>
      </c>
      <c r="I24" s="1">
        <v>2600</v>
      </c>
      <c r="J24" s="4">
        <v>90</v>
      </c>
      <c r="K24" s="1">
        <v>175</v>
      </c>
      <c r="M24" s="3">
        <f t="shared" si="1"/>
        <v>141.93518887158942</v>
      </c>
      <c r="N24" s="3">
        <f t="shared" si="0"/>
        <v>3.3893557422969187</v>
      </c>
      <c r="O24" s="3">
        <f t="shared" si="3"/>
        <v>15.517241379310345</v>
      </c>
      <c r="P24" s="7"/>
      <c r="S24" s="7"/>
      <c r="U24" s="7"/>
      <c r="W24" s="7"/>
    </row>
    <row r="25" spans="1:23" s="1" customFormat="1" ht="12.75">
      <c r="A25" s="1" t="s">
        <v>191</v>
      </c>
      <c r="B25" s="1" t="s">
        <v>192</v>
      </c>
      <c r="C25" s="3">
        <f>143*M1</f>
        <v>43.59259259259259</v>
      </c>
      <c r="D25" s="3">
        <v>35</v>
      </c>
      <c r="E25" s="1">
        <f>31*M1</f>
        <v>9.45014245014245</v>
      </c>
      <c r="G25" s="4">
        <v>50000</v>
      </c>
      <c r="H25" s="4">
        <v>54000</v>
      </c>
      <c r="I25" s="1">
        <v>10000</v>
      </c>
      <c r="J25" s="4">
        <f>620+660</f>
        <v>1280</v>
      </c>
      <c r="K25" s="4">
        <f>J25+550</f>
        <v>1830</v>
      </c>
      <c r="M25" s="3">
        <f t="shared" si="1"/>
        <v>33.03663878907684</v>
      </c>
      <c r="N25" s="3">
        <f t="shared" si="0"/>
        <v>4.612903225806452</v>
      </c>
      <c r="O25" s="3">
        <f t="shared" si="3"/>
        <v>25.6</v>
      </c>
      <c r="P25" s="7"/>
      <c r="S25" s="7"/>
      <c r="U25" s="7"/>
      <c r="W25" s="7"/>
    </row>
    <row r="26" spans="1:23" s="1" customFormat="1" ht="12.75">
      <c r="A26" s="1" t="s">
        <v>131</v>
      </c>
      <c r="B26" s="1" t="s">
        <v>132</v>
      </c>
      <c r="C26" s="3">
        <v>7.5</v>
      </c>
      <c r="D26" s="3">
        <v>6.8</v>
      </c>
      <c r="E26" s="1">
        <v>1.3</v>
      </c>
      <c r="F26" s="1">
        <v>1</v>
      </c>
      <c r="G26" s="4">
        <v>500</v>
      </c>
      <c r="H26" s="1">
        <v>550</v>
      </c>
      <c r="J26" s="1">
        <v>7.4</v>
      </c>
      <c r="M26" s="3">
        <f t="shared" si="1"/>
        <v>45.04776511556298</v>
      </c>
      <c r="N26" s="3">
        <f t="shared" si="0"/>
        <v>5.769230769230769</v>
      </c>
      <c r="O26" s="3">
        <f t="shared" si="3"/>
        <v>14.8</v>
      </c>
      <c r="P26" s="7"/>
      <c r="S26" s="7"/>
      <c r="U26" s="7"/>
      <c r="W26" s="7"/>
    </row>
    <row r="27" spans="1:15" s="1" customFormat="1" ht="12.75">
      <c r="A27" s="1" t="s">
        <v>109</v>
      </c>
      <c r="G27" s="1">
        <f>140*0.454+75</f>
        <v>138.56</v>
      </c>
      <c r="J27" s="1">
        <v>14</v>
      </c>
      <c r="M27" s="3"/>
      <c r="N27" s="3"/>
      <c r="O27" s="3">
        <f t="shared" si="3"/>
        <v>101.03926096997691</v>
      </c>
    </row>
    <row r="28" spans="1:15" s="1" customFormat="1" ht="12.75">
      <c r="A28" s="1" t="s">
        <v>110</v>
      </c>
      <c r="B28" s="1" t="s">
        <v>111</v>
      </c>
      <c r="C28" s="1">
        <v>9.1</v>
      </c>
      <c r="D28" s="1">
        <v>7.94</v>
      </c>
      <c r="E28" s="1">
        <v>1.3</v>
      </c>
      <c r="F28" s="1">
        <v>0.996</v>
      </c>
      <c r="G28" s="1">
        <v>400</v>
      </c>
      <c r="H28" s="1">
        <v>400</v>
      </c>
      <c r="I28" s="1">
        <v>50</v>
      </c>
      <c r="J28" s="1">
        <v>22</v>
      </c>
      <c r="M28" s="3">
        <f>((G28/1000)/((D28/$M$1)^3))*1000000</f>
        <v>22.637500228448026</v>
      </c>
      <c r="N28" s="3">
        <f>C28/E28</f>
        <v>6.999999999999999</v>
      </c>
      <c r="O28" s="3">
        <f t="shared" si="3"/>
        <v>55</v>
      </c>
    </row>
    <row r="29" spans="1:21" s="1" customFormat="1" ht="12.75">
      <c r="A29" s="1" t="s">
        <v>122</v>
      </c>
      <c r="B29" s="1" t="s">
        <v>123</v>
      </c>
      <c r="C29" s="1">
        <f>6*M1</f>
        <v>1.8290598290598288</v>
      </c>
      <c r="D29" s="1">
        <f>C29</f>
        <v>1.8290598290598288</v>
      </c>
      <c r="G29" s="1">
        <f>200*M2</f>
        <v>90.718</v>
      </c>
      <c r="J29" s="7">
        <f>100*P1</f>
        <v>9.292944050778807</v>
      </c>
      <c r="M29" s="3">
        <f>((G29/1000)/((D29/$M$1)^3))*1000000</f>
        <v>419.9907407407408</v>
      </c>
      <c r="O29" s="3">
        <f t="shared" si="3"/>
        <v>102.43770862209051</v>
      </c>
      <c r="T29" s="1">
        <v>40</v>
      </c>
      <c r="U29" s="7">
        <f>T29/SQRT($D29/$M$1)</f>
        <v>16.32993161855452</v>
      </c>
    </row>
    <row r="30" s="1" customFormat="1" ht="12.75"/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4:G18"/>
  <sheetViews>
    <sheetView workbookViewId="0" topLeftCell="A1">
      <selection activeCell="B21" sqref="B21"/>
    </sheetView>
  </sheetViews>
  <sheetFormatPr defaultColWidth="9.140625" defaultRowHeight="12.75"/>
  <cols>
    <col min="2" max="2" width="15.00390625" style="0" bestFit="1" customWidth="1"/>
  </cols>
  <sheetData>
    <row r="4" ht="12.75">
      <c r="C4" s="1"/>
    </row>
    <row r="5" spans="2:3" ht="12.75">
      <c r="B5" t="s">
        <v>182</v>
      </c>
      <c r="C5" s="1"/>
    </row>
    <row r="6" ht="12.75">
      <c r="C6" s="1"/>
    </row>
    <row r="7" spans="2:4" ht="12.75">
      <c r="B7" t="s">
        <v>183</v>
      </c>
      <c r="C7" s="2">
        <v>20</v>
      </c>
      <c r="D7" t="s">
        <v>36</v>
      </c>
    </row>
    <row r="8" spans="2:4" ht="12.75">
      <c r="B8" t="s">
        <v>184</v>
      </c>
      <c r="C8" s="2">
        <v>2500</v>
      </c>
      <c r="D8" t="s">
        <v>22</v>
      </c>
    </row>
    <row r="9" ht="12.75">
      <c r="C9" s="1"/>
    </row>
    <row r="10" spans="2:7" ht="12.75">
      <c r="B10" t="s">
        <v>70</v>
      </c>
      <c r="C10" s="2">
        <v>600</v>
      </c>
      <c r="D10" t="s">
        <v>60</v>
      </c>
      <c r="E10" s="13" t="s">
        <v>185</v>
      </c>
      <c r="F10">
        <f>C10*C11/1000000</f>
        <v>0.06</v>
      </c>
      <c r="G10" t="s">
        <v>4</v>
      </c>
    </row>
    <row r="11" spans="2:4" ht="12.75">
      <c r="B11" t="s">
        <v>137</v>
      </c>
      <c r="C11" s="2">
        <v>100</v>
      </c>
      <c r="D11" t="s">
        <v>60</v>
      </c>
    </row>
    <row r="12" spans="2:3" ht="12.75">
      <c r="B12" t="s">
        <v>186</v>
      </c>
      <c r="C12" s="2">
        <v>1</v>
      </c>
    </row>
    <row r="13" spans="2:3" ht="12.75">
      <c r="B13" t="s">
        <v>187</v>
      </c>
      <c r="C13" s="1">
        <f>C12/20</f>
        <v>0.05</v>
      </c>
    </row>
    <row r="14" ht="12.75">
      <c r="C14" s="1"/>
    </row>
    <row r="15" spans="2:4" ht="12.75">
      <c r="B15" t="s">
        <v>188</v>
      </c>
      <c r="C15" s="4">
        <f>0.5*1000*($C$7/2)^2*($C$10*$C$11/1000000)*C12</f>
        <v>3000</v>
      </c>
      <c r="D15" t="s">
        <v>22</v>
      </c>
    </row>
    <row r="16" spans="2:4" ht="12.75">
      <c r="B16" t="s">
        <v>189</v>
      </c>
      <c r="C16" s="4">
        <f>0.5*1000*($C$7/2)^2*($C$10*$C$11/1000000)*C13</f>
        <v>150</v>
      </c>
      <c r="D16" t="s">
        <v>22</v>
      </c>
    </row>
    <row r="17" ht="12.75">
      <c r="C17" s="1"/>
    </row>
    <row r="18" spans="2:3" ht="12.75">
      <c r="B18" t="s">
        <v>190</v>
      </c>
      <c r="C18">
        <f>1000*C7/2*C11/1000/1.002*1000</f>
        <v>998003.9920159681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L34"/>
  <sheetViews>
    <sheetView workbookViewId="0" topLeftCell="A1">
      <selection activeCell="K32" sqref="K32"/>
    </sheetView>
  </sheetViews>
  <sheetFormatPr defaultColWidth="9.140625" defaultRowHeight="12.75"/>
  <sheetData>
    <row r="4" ht="12.75">
      <c r="A4" t="s">
        <v>112</v>
      </c>
    </row>
    <row r="7" spans="1:7" ht="12.75">
      <c r="A7" s="1" t="s">
        <v>113</v>
      </c>
      <c r="B7" s="3">
        <v>0.9</v>
      </c>
      <c r="C7" s="3">
        <v>1.5</v>
      </c>
      <c r="D7" s="3">
        <v>2</v>
      </c>
      <c r="E7" s="3">
        <v>3</v>
      </c>
      <c r="F7" s="3">
        <v>4</v>
      </c>
      <c r="G7" s="3">
        <v>5</v>
      </c>
    </row>
    <row r="8" spans="1:7" ht="12.75">
      <c r="A8" s="1">
        <v>10</v>
      </c>
      <c r="B8" s="1">
        <v>2.8</v>
      </c>
      <c r="C8" s="1">
        <v>5</v>
      </c>
      <c r="D8" s="1">
        <v>6.5</v>
      </c>
      <c r="E8" s="1">
        <v>9</v>
      </c>
      <c r="F8" s="1">
        <v>12.5</v>
      </c>
      <c r="G8" s="1">
        <v>16</v>
      </c>
    </row>
    <row r="9" spans="1:7" ht="12.75">
      <c r="A9" s="1">
        <v>20</v>
      </c>
      <c r="B9" s="1">
        <v>4</v>
      </c>
      <c r="C9" s="1">
        <v>6.8</v>
      </c>
      <c r="D9" s="1">
        <v>9.5</v>
      </c>
      <c r="E9" s="1">
        <v>13.5</v>
      </c>
      <c r="F9" s="1">
        <v>18</v>
      </c>
      <c r="G9" s="1">
        <v>22.5</v>
      </c>
    </row>
    <row r="10" spans="1:7" ht="12.75">
      <c r="A10" s="1">
        <v>30</v>
      </c>
      <c r="B10" s="1">
        <v>5</v>
      </c>
      <c r="C10" s="1">
        <v>8</v>
      </c>
      <c r="D10" s="1">
        <v>11</v>
      </c>
      <c r="E10" s="1">
        <v>16.5</v>
      </c>
      <c r="F10" s="1">
        <v>22</v>
      </c>
      <c r="G10" s="1">
        <v>27.5</v>
      </c>
    </row>
    <row r="11" spans="1:7" ht="12.75">
      <c r="A11" s="1">
        <v>40</v>
      </c>
      <c r="B11" s="1">
        <v>5.8</v>
      </c>
      <c r="C11" s="1">
        <v>9.5</v>
      </c>
      <c r="D11" s="1">
        <v>12.8</v>
      </c>
      <c r="E11" s="1">
        <v>19</v>
      </c>
      <c r="F11" s="1">
        <v>25.5</v>
      </c>
      <c r="G11" s="1">
        <v>32</v>
      </c>
    </row>
    <row r="12" spans="1:7" ht="12.75">
      <c r="A12" s="1">
        <v>50</v>
      </c>
      <c r="B12" s="1">
        <v>6.4</v>
      </c>
      <c r="C12" s="1">
        <v>11</v>
      </c>
      <c r="D12" s="1">
        <v>14.5</v>
      </c>
      <c r="E12" s="1">
        <v>21.5</v>
      </c>
      <c r="F12" s="1">
        <v>28.5</v>
      </c>
      <c r="G12" s="1">
        <v>35.5</v>
      </c>
    </row>
    <row r="13" spans="1:7" ht="12.75">
      <c r="A13" s="1">
        <v>60</v>
      </c>
      <c r="B13" s="1">
        <v>7</v>
      </c>
      <c r="C13" s="1">
        <v>12</v>
      </c>
      <c r="D13" s="1">
        <v>16</v>
      </c>
      <c r="E13" s="1">
        <v>23.5</v>
      </c>
      <c r="F13" s="1">
        <v>31</v>
      </c>
      <c r="G13" s="1">
        <v>39</v>
      </c>
    </row>
    <row r="14" spans="1:7" ht="12.75">
      <c r="A14" s="1">
        <v>70</v>
      </c>
      <c r="B14" s="1">
        <v>7.5</v>
      </c>
      <c r="C14" s="1">
        <v>12.5</v>
      </c>
      <c r="D14" s="1">
        <v>17</v>
      </c>
      <c r="E14" s="1">
        <v>25</v>
      </c>
      <c r="F14" s="1">
        <v>33</v>
      </c>
      <c r="G14" s="1">
        <v>42</v>
      </c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12" ht="12.75">
      <c r="A25" s="1"/>
      <c r="B25" s="1"/>
      <c r="C25" s="1"/>
      <c r="D25" s="1"/>
      <c r="E25" s="1"/>
      <c r="F25" s="1"/>
      <c r="G25" s="1"/>
      <c r="K25">
        <v>1</v>
      </c>
      <c r="L25" t="s">
        <v>140</v>
      </c>
    </row>
    <row r="26" spans="1:12" ht="12.75">
      <c r="A26" s="1"/>
      <c r="B26" s="1"/>
      <c r="C26" s="1"/>
      <c r="D26" s="1"/>
      <c r="E26" s="1"/>
      <c r="F26" s="1"/>
      <c r="G26" s="1"/>
      <c r="K26">
        <v>2</v>
      </c>
      <c r="L26" t="s">
        <v>141</v>
      </c>
    </row>
    <row r="27" spans="1:12" ht="12.75">
      <c r="A27" s="1"/>
      <c r="B27" s="1"/>
      <c r="C27" s="1"/>
      <c r="D27" s="1"/>
      <c r="E27" s="1"/>
      <c r="F27" s="1"/>
      <c r="G27" s="1"/>
      <c r="K27">
        <v>3</v>
      </c>
      <c r="L27" t="s">
        <v>142</v>
      </c>
    </row>
    <row r="28" spans="1:12" ht="12.75">
      <c r="A28" s="1"/>
      <c r="B28" s="1"/>
      <c r="C28" s="1"/>
      <c r="D28" s="1"/>
      <c r="E28" s="1"/>
      <c r="F28" s="1"/>
      <c r="G28" s="1"/>
      <c r="K28">
        <v>4</v>
      </c>
      <c r="L28" t="s">
        <v>143</v>
      </c>
    </row>
    <row r="29" spans="1:12" ht="12.75">
      <c r="A29" s="1"/>
      <c r="B29" s="1"/>
      <c r="C29" s="1"/>
      <c r="D29" s="1"/>
      <c r="E29" s="1"/>
      <c r="F29" s="1"/>
      <c r="G29" s="1"/>
      <c r="K29">
        <v>5</v>
      </c>
      <c r="L29" t="s">
        <v>144</v>
      </c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UKSA</dc:creator>
  <cp:keywords/>
  <dc:description/>
  <cp:lastModifiedBy>Jos Zoontjens</cp:lastModifiedBy>
  <dcterms:created xsi:type="dcterms:W3CDTF">2003-04-29T19:39:42Z</dcterms:created>
  <dcterms:modified xsi:type="dcterms:W3CDTF">2003-09-22T18:07:20Z</dcterms:modified>
  <cp:category/>
  <cp:version/>
  <cp:contentType/>
  <cp:contentStatus/>
</cp:coreProperties>
</file>